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rmohin_SA\Desktop\ИПР мое\Сетевая\Формы к приказу МПиТ 2023-2024\"/>
    </mc:Choice>
  </mc:AlternateContent>
  <bookViews>
    <workbookView xWindow="3795" yWindow="3600" windowWidth="19320" windowHeight="8175" tabRatio="372"/>
  </bookViews>
  <sheets>
    <sheet name="План освоения КВЛ 2023-2024" sheetId="1" r:id="rId1"/>
    <sheet name="Форма №3 (2)" sheetId="4" state="hidden" r:id="rId2"/>
  </sheets>
  <definedNames>
    <definedName name="_xlnm._FilterDatabase" localSheetId="0" hidden="1">'План освоения КВЛ 2023-2024'!$B$13:$Q$274</definedName>
    <definedName name="_xlnm._FilterDatabase" localSheetId="1" hidden="1">'Форма №3 (2)'!$B$17:$CR$263</definedName>
    <definedName name="Z_37C0A5E7_F5A1_49EE_B11E_7A2666ECDBC5_.wvu.FilterData" localSheetId="0" hidden="1">'План освоения КВЛ 2023-2024'!$B$13:$Q$275</definedName>
    <definedName name="Z_37C0A5E7_F5A1_49EE_B11E_7A2666ECDBC5_.wvu.FilterData" localSheetId="1" hidden="1">'Форма №3 (2)'!$B$17:$CM$264</definedName>
    <definedName name="Z_60136FD1_411C_4F4D_9E77_F7C42BE76C41_.wvu.Cols" localSheetId="0" hidden="1">'План освоения КВЛ 2023-2024'!$A:$A</definedName>
    <definedName name="Z_60136FD1_411C_4F4D_9E77_F7C42BE76C41_.wvu.Cols" localSheetId="1" hidden="1">'Форма №3 (2)'!$A:$A</definedName>
    <definedName name="Z_60136FD1_411C_4F4D_9E77_F7C42BE76C41_.wvu.FilterData" localSheetId="0" hidden="1">'План освоения КВЛ 2023-2024'!$B$13:$Q$275</definedName>
    <definedName name="Z_60136FD1_411C_4F4D_9E77_F7C42BE76C41_.wvu.FilterData" localSheetId="1" hidden="1">'Форма №3 (2)'!$B$17:$CM$264</definedName>
    <definedName name="Z_60136FD1_411C_4F4D_9E77_F7C42BE76C41_.wvu.PrintArea" localSheetId="0" hidden="1">'План освоения КВЛ 2023-2024'!$A$1:$Q$273</definedName>
    <definedName name="Z_60136FD1_411C_4F4D_9E77_F7C42BE76C41_.wvu.PrintArea" localSheetId="1" hidden="1">'Форма №3 (2)'!$A$1:$BK$266</definedName>
    <definedName name="Z_60136FD1_411C_4F4D_9E77_F7C42BE76C41_.wvu.PrintTitles" localSheetId="0" hidden="1">'План освоения КВЛ 2023-2024'!$10:$13</definedName>
    <definedName name="Z_60136FD1_411C_4F4D_9E77_F7C42BE76C41_.wvu.PrintTitles" localSheetId="1" hidden="1">'Форма №3 (2)'!$14:$17</definedName>
    <definedName name="Z_8656A0A6_B175_4186_B008_26BA3DE08316_.wvu.Cols" localSheetId="0" hidden="1">'План освоения КВЛ 2023-2024'!$A:$A</definedName>
    <definedName name="Z_8656A0A6_B175_4186_B008_26BA3DE08316_.wvu.Cols" localSheetId="1" hidden="1">'Форма №3 (2)'!$A:$A</definedName>
    <definedName name="Z_8656A0A6_B175_4186_B008_26BA3DE08316_.wvu.FilterData" localSheetId="0" hidden="1">'План освоения КВЛ 2023-2024'!$B$13:$Q$275</definedName>
    <definedName name="Z_8656A0A6_B175_4186_B008_26BA3DE08316_.wvu.FilterData" localSheetId="1" hidden="1">'Форма №3 (2)'!$B$17:$CM$264</definedName>
    <definedName name="Z_8656A0A6_B175_4186_B008_26BA3DE08316_.wvu.PrintArea" localSheetId="0" hidden="1">'План освоения КВЛ 2023-2024'!$A$1:$Q$273</definedName>
    <definedName name="Z_8656A0A6_B175_4186_B008_26BA3DE08316_.wvu.PrintArea" localSheetId="1" hidden="1">'Форма №3 (2)'!$A$1:$BK$266</definedName>
    <definedName name="Z_8656A0A6_B175_4186_B008_26BA3DE08316_.wvu.PrintTitles" localSheetId="0" hidden="1">'План освоения КВЛ 2023-2024'!$10:$13</definedName>
    <definedName name="Z_8656A0A6_B175_4186_B008_26BA3DE08316_.wvu.PrintTitles" localSheetId="1" hidden="1">'Форма №3 (2)'!$14:$17</definedName>
    <definedName name="Z_E0556DD4_E2E5_42FA_A296_7AD14C53C2CC_.wvu.FilterData" localSheetId="0" hidden="1">'План освоения КВЛ 2023-2024'!$B$13:$Q$275</definedName>
    <definedName name="Z_E0556DD4_E2E5_42FA_A296_7AD14C53C2CC_.wvu.FilterData" localSheetId="1" hidden="1">'Форма №3 (2)'!$B$17:$CM$264</definedName>
    <definedName name="_xlnm.Print_Titles" localSheetId="1">'Форма №3 (2)'!$14:$17</definedName>
    <definedName name="_xlnm.Print_Area" localSheetId="0">'План освоения КВЛ 2023-2024'!$A$1:$Q$274</definedName>
    <definedName name="_xlnm.Print_Area" localSheetId="1">'Форма №3 (2)'!$A$1:$BK$266</definedName>
  </definedNames>
  <calcPr calcId="162913"/>
  <customWorkbookViews>
    <customWorkbookView name="Шайхутдинов Рустем Фаритович - Личное представление" guid="{8656A0A6-B175-4186-B008-26BA3DE08316}" mergeInterval="0" personalView="1" maximized="1" xWindow="-8" yWindow="-8" windowWidth="1936" windowHeight="1056" tabRatio="418" activeSheetId="1"/>
    <customWorkbookView name="Галиев Руслан Айратович - Личное представление" guid="{60136FD1-411C-4F4D-9E77-F7C42BE76C41}" mergeInterval="0" personalView="1" maximized="1" xWindow="-8" yWindow="-8" windowWidth="1936" windowHeight="1056" tabRatio="418" activeSheetId="1"/>
  </customWorkbookViews>
</workbook>
</file>

<file path=xl/calcChain.xml><?xml version="1.0" encoding="utf-8"?>
<calcChain xmlns="http://schemas.openxmlformats.org/spreadsheetml/2006/main">
  <c r="AA28" i="4" l="1"/>
  <c r="AO28" i="4"/>
  <c r="CR19" i="4"/>
  <c r="CR20" i="4"/>
  <c r="CR21" i="4"/>
  <c r="CR22" i="4"/>
  <c r="CR23" i="4"/>
  <c r="CR24" i="4"/>
  <c r="CR25" i="4"/>
  <c r="CR26" i="4"/>
  <c r="CR27" i="4"/>
  <c r="CR28" i="4"/>
  <c r="CR29" i="4"/>
  <c r="CR30" i="4"/>
  <c r="CR31" i="4"/>
  <c r="CR32" i="4"/>
  <c r="CR33" i="4"/>
  <c r="CR34" i="4"/>
  <c r="CR35" i="4"/>
  <c r="CR36" i="4"/>
  <c r="CR37" i="4"/>
  <c r="CR38" i="4"/>
  <c r="CR39" i="4"/>
  <c r="CR40" i="4"/>
  <c r="CR41" i="4"/>
  <c r="CR42" i="4"/>
  <c r="CR43" i="4"/>
  <c r="CR44" i="4"/>
  <c r="CR45" i="4"/>
  <c r="CR46" i="4"/>
  <c r="CR47" i="4"/>
  <c r="CR48" i="4"/>
  <c r="CR49" i="4"/>
  <c r="CR50" i="4"/>
  <c r="CR51" i="4"/>
  <c r="CR52" i="4"/>
  <c r="CR53" i="4"/>
  <c r="CR54" i="4"/>
  <c r="CR55" i="4"/>
  <c r="CR56" i="4"/>
  <c r="CR57" i="4"/>
  <c r="CR58" i="4"/>
  <c r="CR59" i="4"/>
  <c r="CR60" i="4"/>
  <c r="CR61" i="4"/>
  <c r="CR62" i="4"/>
  <c r="CR63" i="4"/>
  <c r="CR64" i="4"/>
  <c r="CR65" i="4"/>
  <c r="CR66" i="4"/>
  <c r="CR67" i="4"/>
  <c r="CR68" i="4"/>
  <c r="CR69" i="4"/>
  <c r="CR70" i="4"/>
  <c r="CR71" i="4"/>
  <c r="CR72" i="4"/>
  <c r="CR73" i="4"/>
  <c r="CR74" i="4"/>
  <c r="CR75" i="4"/>
  <c r="CR76" i="4"/>
  <c r="CR77" i="4"/>
  <c r="CR78" i="4"/>
  <c r="CR79" i="4"/>
  <c r="CR80" i="4"/>
  <c r="CR81" i="4"/>
  <c r="CR82" i="4"/>
  <c r="CR83" i="4"/>
  <c r="CR84" i="4"/>
  <c r="CR85" i="4"/>
  <c r="CR86" i="4"/>
  <c r="CR87" i="4"/>
  <c r="CR88" i="4"/>
  <c r="CR89" i="4"/>
  <c r="CR90" i="4"/>
  <c r="CR91" i="4"/>
  <c r="CR92" i="4"/>
  <c r="CR93" i="4"/>
  <c r="CR94" i="4"/>
  <c r="CR95" i="4"/>
  <c r="CR96" i="4"/>
  <c r="CR97" i="4"/>
  <c r="CR98" i="4"/>
  <c r="CR99" i="4"/>
  <c r="CR100" i="4"/>
  <c r="CR101" i="4"/>
  <c r="CR102" i="4"/>
  <c r="CR103" i="4"/>
  <c r="CR104" i="4"/>
  <c r="CR105" i="4"/>
  <c r="CR106" i="4"/>
  <c r="CR107" i="4"/>
  <c r="CR108" i="4"/>
  <c r="CR109" i="4"/>
  <c r="CR110" i="4"/>
  <c r="CR111" i="4"/>
  <c r="CR112" i="4"/>
  <c r="CR113" i="4"/>
  <c r="CR114" i="4"/>
  <c r="CR115" i="4"/>
  <c r="CR116" i="4"/>
  <c r="CR117" i="4"/>
  <c r="CR118" i="4"/>
  <c r="CR119" i="4"/>
  <c r="CR120" i="4"/>
  <c r="CR121" i="4"/>
  <c r="CR122" i="4"/>
  <c r="CR123" i="4"/>
  <c r="CR124" i="4"/>
  <c r="CR125" i="4"/>
  <c r="CR126" i="4"/>
  <c r="CR127" i="4"/>
  <c r="CR128" i="4"/>
  <c r="CR129" i="4"/>
  <c r="CR130" i="4"/>
  <c r="CR131" i="4"/>
  <c r="CR132" i="4"/>
  <c r="CR133" i="4"/>
  <c r="CR134" i="4"/>
  <c r="CR135" i="4"/>
  <c r="CR136" i="4"/>
  <c r="CR137" i="4"/>
  <c r="CR138" i="4"/>
  <c r="CR139" i="4"/>
  <c r="CR140" i="4"/>
  <c r="CR141" i="4"/>
  <c r="CR142" i="4"/>
  <c r="CR143" i="4"/>
  <c r="CR144" i="4"/>
  <c r="CR145" i="4"/>
  <c r="CR146" i="4"/>
  <c r="CR147" i="4"/>
  <c r="CR148" i="4"/>
  <c r="CR149" i="4"/>
  <c r="CR150" i="4"/>
  <c r="CR151" i="4"/>
  <c r="CR152" i="4"/>
  <c r="CR153" i="4"/>
  <c r="CR154" i="4"/>
  <c r="CR155" i="4"/>
  <c r="CR156" i="4"/>
  <c r="CR157" i="4"/>
  <c r="CR158" i="4"/>
  <c r="CR159" i="4"/>
  <c r="CR160" i="4"/>
  <c r="CR161" i="4"/>
  <c r="CR162" i="4"/>
  <c r="CR163" i="4"/>
  <c r="CR164" i="4"/>
  <c r="CR165" i="4"/>
  <c r="CR166" i="4"/>
  <c r="CR167" i="4"/>
  <c r="CR168" i="4"/>
  <c r="CR169" i="4"/>
  <c r="CR170" i="4"/>
  <c r="CR171" i="4"/>
  <c r="CR172" i="4"/>
  <c r="CR173" i="4"/>
  <c r="CR174" i="4"/>
  <c r="CR175" i="4"/>
  <c r="CR176" i="4"/>
  <c r="CR177" i="4"/>
  <c r="CR178" i="4"/>
  <c r="CR179" i="4"/>
  <c r="CR180" i="4"/>
  <c r="CR181" i="4"/>
  <c r="CR182" i="4"/>
  <c r="CR183" i="4"/>
  <c r="CR184" i="4"/>
  <c r="CR185" i="4"/>
  <c r="CR186" i="4"/>
  <c r="CR187" i="4"/>
  <c r="CR188" i="4"/>
  <c r="CR189" i="4"/>
  <c r="CR190" i="4"/>
  <c r="CR191" i="4"/>
  <c r="CR192" i="4"/>
  <c r="CR193" i="4"/>
  <c r="CR194" i="4"/>
  <c r="CR195" i="4"/>
  <c r="CR196" i="4"/>
  <c r="CR197" i="4"/>
  <c r="CR198" i="4"/>
  <c r="CR199" i="4"/>
  <c r="CR200" i="4"/>
  <c r="CR201" i="4"/>
  <c r="CR202" i="4"/>
  <c r="CR203" i="4"/>
  <c r="CR204" i="4"/>
  <c r="CR205" i="4"/>
  <c r="CR206" i="4"/>
  <c r="CR207" i="4"/>
  <c r="CR208" i="4"/>
  <c r="CR209" i="4"/>
  <c r="CR210" i="4"/>
  <c r="CR211" i="4"/>
  <c r="CR212" i="4"/>
  <c r="CR213" i="4"/>
  <c r="CR214" i="4"/>
  <c r="CR215" i="4"/>
  <c r="CR216" i="4"/>
  <c r="CR217" i="4"/>
  <c r="CR218" i="4"/>
  <c r="CR219" i="4"/>
  <c r="CR220" i="4"/>
  <c r="CR221" i="4"/>
  <c r="CR222" i="4"/>
  <c r="CR223" i="4"/>
  <c r="CR224" i="4"/>
  <c r="CR225" i="4"/>
  <c r="CR226" i="4"/>
  <c r="CR227" i="4"/>
  <c r="CR228" i="4"/>
  <c r="CR229" i="4"/>
  <c r="CR230" i="4"/>
  <c r="CR231" i="4"/>
  <c r="CR232" i="4"/>
  <c r="CR233" i="4"/>
  <c r="CR234" i="4"/>
  <c r="CR235" i="4"/>
  <c r="CR236" i="4"/>
  <c r="CR237" i="4"/>
  <c r="CR238" i="4"/>
  <c r="CR239" i="4"/>
  <c r="CR240" i="4"/>
  <c r="CR241" i="4"/>
  <c r="CR242" i="4"/>
  <c r="CR243" i="4"/>
  <c r="CR244" i="4"/>
  <c r="CR245" i="4"/>
  <c r="CR246" i="4"/>
  <c r="CR247" i="4"/>
  <c r="CR248" i="4"/>
  <c r="CR249" i="4"/>
  <c r="CR250" i="4"/>
  <c r="CR251" i="4"/>
  <c r="CR252" i="4"/>
  <c r="CR253" i="4"/>
  <c r="CR254" i="4"/>
  <c r="CR255" i="4"/>
  <c r="CR256" i="4"/>
  <c r="CR257" i="4"/>
  <c r="CR258" i="4"/>
  <c r="CR259" i="4"/>
  <c r="CR260" i="4"/>
  <c r="CR261" i="4"/>
  <c r="CR262" i="4"/>
  <c r="CR263" i="4"/>
  <c r="CR18" i="4"/>
  <c r="CQ19" i="4"/>
  <c r="CQ20" i="4"/>
  <c r="CQ21" i="4"/>
  <c r="CQ22" i="4"/>
  <c r="CQ23" i="4"/>
  <c r="CQ24" i="4"/>
  <c r="CQ25" i="4"/>
  <c r="CQ26" i="4"/>
  <c r="CQ27" i="4"/>
  <c r="CQ28" i="4"/>
  <c r="CQ29" i="4"/>
  <c r="CQ30" i="4"/>
  <c r="CQ31" i="4"/>
  <c r="CQ32" i="4"/>
  <c r="CQ33" i="4"/>
  <c r="CQ34" i="4"/>
  <c r="CQ35" i="4"/>
  <c r="CQ36" i="4"/>
  <c r="CQ37" i="4"/>
  <c r="CQ38" i="4"/>
  <c r="CQ39" i="4"/>
  <c r="CQ40" i="4"/>
  <c r="CQ41" i="4"/>
  <c r="CQ42" i="4"/>
  <c r="CQ43" i="4"/>
  <c r="CQ44" i="4"/>
  <c r="CQ45" i="4"/>
  <c r="CQ46" i="4"/>
  <c r="CQ47" i="4"/>
  <c r="CQ48" i="4"/>
  <c r="CQ49" i="4"/>
  <c r="CQ50" i="4"/>
  <c r="CQ51" i="4"/>
  <c r="CQ52" i="4"/>
  <c r="CQ53" i="4"/>
  <c r="CQ54" i="4"/>
  <c r="CQ55" i="4"/>
  <c r="CQ56" i="4"/>
  <c r="CQ57" i="4"/>
  <c r="CQ58" i="4"/>
  <c r="CQ59" i="4"/>
  <c r="CQ60" i="4"/>
  <c r="CQ61" i="4"/>
  <c r="CQ62" i="4"/>
  <c r="CQ63" i="4"/>
  <c r="CQ64" i="4"/>
  <c r="CQ65" i="4"/>
  <c r="CQ66" i="4"/>
  <c r="CQ67" i="4"/>
  <c r="CQ68" i="4"/>
  <c r="CQ69" i="4"/>
  <c r="CQ70" i="4"/>
  <c r="CQ71" i="4"/>
  <c r="CQ72" i="4"/>
  <c r="CQ73" i="4"/>
  <c r="CQ74" i="4"/>
  <c r="CQ75" i="4"/>
  <c r="CQ76" i="4"/>
  <c r="CQ77" i="4"/>
  <c r="CQ78" i="4"/>
  <c r="CQ79" i="4"/>
  <c r="CQ80" i="4"/>
  <c r="CQ81" i="4"/>
  <c r="CQ82" i="4"/>
  <c r="CQ83" i="4"/>
  <c r="CQ84" i="4"/>
  <c r="CQ85" i="4"/>
  <c r="CQ86" i="4"/>
  <c r="CQ87" i="4"/>
  <c r="CQ88" i="4"/>
  <c r="CQ89" i="4"/>
  <c r="CQ90" i="4"/>
  <c r="CQ91" i="4"/>
  <c r="CQ92" i="4"/>
  <c r="CQ93" i="4"/>
  <c r="CQ94" i="4"/>
  <c r="CQ95" i="4"/>
  <c r="CQ96" i="4"/>
  <c r="CQ97" i="4"/>
  <c r="CQ98" i="4"/>
  <c r="CQ99" i="4"/>
  <c r="CQ100" i="4"/>
  <c r="CQ101" i="4"/>
  <c r="CQ102" i="4"/>
  <c r="CQ103" i="4"/>
  <c r="CQ104" i="4"/>
  <c r="CQ105" i="4"/>
  <c r="CQ106" i="4"/>
  <c r="CQ107" i="4"/>
  <c r="CQ108" i="4"/>
  <c r="CQ109" i="4"/>
  <c r="CQ110" i="4"/>
  <c r="CQ111" i="4"/>
  <c r="CQ112" i="4"/>
  <c r="CQ113" i="4"/>
  <c r="CQ114" i="4"/>
  <c r="CQ115" i="4"/>
  <c r="CQ116" i="4"/>
  <c r="CQ117" i="4"/>
  <c r="CQ118" i="4"/>
  <c r="CQ119" i="4"/>
  <c r="CQ120" i="4"/>
  <c r="CQ121" i="4"/>
  <c r="CQ122" i="4"/>
  <c r="CQ123" i="4"/>
  <c r="CQ124" i="4"/>
  <c r="CQ125" i="4"/>
  <c r="CQ126" i="4"/>
  <c r="CQ127" i="4"/>
  <c r="CQ128" i="4"/>
  <c r="CQ129" i="4"/>
  <c r="CQ130" i="4"/>
  <c r="CQ131" i="4"/>
  <c r="CQ132" i="4"/>
  <c r="CQ133" i="4"/>
  <c r="CQ134" i="4"/>
  <c r="CQ135" i="4"/>
  <c r="CQ136" i="4"/>
  <c r="CQ137" i="4"/>
  <c r="CQ138" i="4"/>
  <c r="CQ139" i="4"/>
  <c r="CQ140" i="4"/>
  <c r="CQ141" i="4"/>
  <c r="CQ142" i="4"/>
  <c r="CQ143" i="4"/>
  <c r="CQ144" i="4"/>
  <c r="CQ145" i="4"/>
  <c r="CQ146" i="4"/>
  <c r="CQ147" i="4"/>
  <c r="CQ148" i="4"/>
  <c r="CQ149" i="4"/>
  <c r="CQ150" i="4"/>
  <c r="CQ151" i="4"/>
  <c r="CQ152" i="4"/>
  <c r="CQ153" i="4"/>
  <c r="CQ154" i="4"/>
  <c r="CQ155" i="4"/>
  <c r="CQ156" i="4"/>
  <c r="CQ157" i="4"/>
  <c r="CQ158" i="4"/>
  <c r="CQ159" i="4"/>
  <c r="CQ160" i="4"/>
  <c r="CQ161" i="4"/>
  <c r="CQ162" i="4"/>
  <c r="CQ163" i="4"/>
  <c r="CQ164" i="4"/>
  <c r="CQ165" i="4"/>
  <c r="CQ166" i="4"/>
  <c r="CQ167" i="4"/>
  <c r="CQ168" i="4"/>
  <c r="CQ169" i="4"/>
  <c r="CQ170" i="4"/>
  <c r="CQ171" i="4"/>
  <c r="CQ172" i="4"/>
  <c r="CQ173" i="4"/>
  <c r="CQ174" i="4"/>
  <c r="CQ175" i="4"/>
  <c r="CQ176" i="4"/>
  <c r="CQ177" i="4"/>
  <c r="CQ178" i="4"/>
  <c r="CQ179" i="4"/>
  <c r="CQ180" i="4"/>
  <c r="CQ181" i="4"/>
  <c r="CQ182" i="4"/>
  <c r="CQ183" i="4"/>
  <c r="CQ184" i="4"/>
  <c r="CQ185" i="4"/>
  <c r="CQ186" i="4"/>
  <c r="CQ187" i="4"/>
  <c r="CQ188" i="4"/>
  <c r="CQ189" i="4"/>
  <c r="CQ190" i="4"/>
  <c r="CQ191" i="4"/>
  <c r="CQ192" i="4"/>
  <c r="CQ193" i="4"/>
  <c r="CQ194" i="4"/>
  <c r="CQ195" i="4"/>
  <c r="CQ196" i="4"/>
  <c r="CQ197" i="4"/>
  <c r="CQ198" i="4"/>
  <c r="CQ199" i="4"/>
  <c r="CQ200" i="4"/>
  <c r="CQ201" i="4"/>
  <c r="CQ202" i="4"/>
  <c r="CQ203" i="4"/>
  <c r="CQ204" i="4"/>
  <c r="CQ205" i="4"/>
  <c r="CQ206" i="4"/>
  <c r="CQ207" i="4"/>
  <c r="CQ208" i="4"/>
  <c r="CQ209" i="4"/>
  <c r="CQ210" i="4"/>
  <c r="CQ211" i="4"/>
  <c r="CQ212" i="4"/>
  <c r="CQ213" i="4"/>
  <c r="CQ214" i="4"/>
  <c r="CQ215" i="4"/>
  <c r="CQ216" i="4"/>
  <c r="CQ217" i="4"/>
  <c r="CQ218" i="4"/>
  <c r="CQ219" i="4"/>
  <c r="CQ220" i="4"/>
  <c r="CQ221" i="4"/>
  <c r="CQ222" i="4"/>
  <c r="CQ223" i="4"/>
  <c r="CQ224" i="4"/>
  <c r="CQ225" i="4"/>
  <c r="CQ226" i="4"/>
  <c r="CQ227" i="4"/>
  <c r="CQ228" i="4"/>
  <c r="CQ229" i="4"/>
  <c r="CQ230" i="4"/>
  <c r="CQ231" i="4"/>
  <c r="CQ232" i="4"/>
  <c r="CQ233" i="4"/>
  <c r="CQ234" i="4"/>
  <c r="CQ235" i="4"/>
  <c r="CQ236" i="4"/>
  <c r="CQ237" i="4"/>
  <c r="CQ238" i="4"/>
  <c r="CQ239" i="4"/>
  <c r="CQ240" i="4"/>
  <c r="CQ241" i="4"/>
  <c r="CQ242" i="4"/>
  <c r="CQ243" i="4"/>
  <c r="CQ244" i="4"/>
  <c r="CQ245" i="4"/>
  <c r="CQ246" i="4"/>
  <c r="CQ247" i="4"/>
  <c r="CQ248" i="4"/>
  <c r="CQ249" i="4"/>
  <c r="CQ250" i="4"/>
  <c r="CQ251" i="4"/>
  <c r="CQ252" i="4"/>
  <c r="CQ253" i="4"/>
  <c r="CQ254" i="4"/>
  <c r="CQ255" i="4"/>
  <c r="CQ256" i="4"/>
  <c r="CQ257" i="4"/>
  <c r="CQ258" i="4"/>
  <c r="CQ259" i="4"/>
  <c r="CQ260" i="4"/>
  <c r="CQ261" i="4"/>
  <c r="CQ262" i="4"/>
  <c r="CQ263" i="4"/>
  <c r="CQ18" i="4"/>
  <c r="AN173" i="4"/>
  <c r="AN174" i="4"/>
  <c r="AN175" i="4"/>
  <c r="AN176" i="4"/>
  <c r="AN177" i="4"/>
  <c r="AN178" i="4"/>
  <c r="AN179" i="4"/>
  <c r="AN180" i="4"/>
  <c r="AN181" i="4"/>
  <c r="AN182" i="4"/>
  <c r="AN183" i="4"/>
  <c r="AN184" i="4"/>
  <c r="AN185" i="4"/>
  <c r="AN186" i="4"/>
  <c r="AN187" i="4"/>
  <c r="AN172" i="4"/>
  <c r="AN37" i="4"/>
  <c r="AN36" i="4"/>
  <c r="AN206" i="4"/>
  <c r="AN199" i="4"/>
  <c r="AN198" i="4"/>
  <c r="AN197" i="4"/>
  <c r="AN193" i="4"/>
  <c r="AN195" i="4"/>
  <c r="AN70" i="4"/>
  <c r="AN68" i="4"/>
  <c r="I281" i="4"/>
  <c r="H281" i="4"/>
  <c r="G281" i="4"/>
  <c r="F281" i="4"/>
  <c r="E281" i="4"/>
  <c r="D281" i="4"/>
  <c r="AP272" i="4"/>
  <c r="CJ263" i="4"/>
  <c r="CB263" i="4"/>
  <c r="BY263" i="4"/>
  <c r="BX263" i="4"/>
  <c r="BW263" i="4"/>
  <c r="BV263" i="4"/>
  <c r="BU263" i="4"/>
  <c r="BT263" i="4"/>
  <c r="BS263" i="4"/>
  <c r="BR263" i="4"/>
  <c r="BM263" i="4"/>
  <c r="BN263" i="4"/>
  <c r="BH263" i="4"/>
  <c r="BG263" i="4"/>
  <c r="BF263" i="4"/>
  <c r="BE263" i="4"/>
  <c r="AV263" i="4"/>
  <c r="AS263" i="4"/>
  <c r="AO263" i="4"/>
  <c r="BJ263" i="4"/>
  <c r="AN263" i="4"/>
  <c r="AA263" i="4"/>
  <c r="L263" i="4"/>
  <c r="AT263" i="4"/>
  <c r="H263" i="4"/>
  <c r="BL263" i="4"/>
  <c r="F263" i="4"/>
  <c r="CJ262" i="4"/>
  <c r="CB262" i="4"/>
  <c r="BY262" i="4"/>
  <c r="BX262" i="4"/>
  <c r="BW262" i="4"/>
  <c r="BV262" i="4"/>
  <c r="BU262" i="4"/>
  <c r="BT262" i="4"/>
  <c r="BS262" i="4"/>
  <c r="BR262" i="4"/>
  <c r="BM262" i="4"/>
  <c r="BN262" i="4"/>
  <c r="BH262" i="4"/>
  <c r="BG262" i="4"/>
  <c r="BF262" i="4"/>
  <c r="BE262" i="4"/>
  <c r="AV262" i="4"/>
  <c r="AS262" i="4"/>
  <c r="AO262" i="4"/>
  <c r="BJ262" i="4"/>
  <c r="AN262" i="4"/>
  <c r="AA262" i="4"/>
  <c r="L262" i="4"/>
  <c r="H262" i="4"/>
  <c r="BL262" i="4"/>
  <c r="F262" i="4"/>
  <c r="CJ261" i="4"/>
  <c r="CB261" i="4"/>
  <c r="BY261" i="4"/>
  <c r="BX261" i="4"/>
  <c r="BW261" i="4"/>
  <c r="BV261" i="4"/>
  <c r="BU261" i="4"/>
  <c r="BT261" i="4"/>
  <c r="BS261" i="4"/>
  <c r="BR261" i="4"/>
  <c r="BM261" i="4"/>
  <c r="BN261" i="4"/>
  <c r="BL261" i="4"/>
  <c r="BH261" i="4"/>
  <c r="BG261" i="4"/>
  <c r="BF261" i="4"/>
  <c r="BE261" i="4"/>
  <c r="AV261" i="4"/>
  <c r="AS261" i="4"/>
  <c r="AR261" i="4"/>
  <c r="AO261" i="4"/>
  <c r="BJ261" i="4"/>
  <c r="AN261" i="4"/>
  <c r="AA261" i="4"/>
  <c r="W261" i="4"/>
  <c r="Y261" i="4"/>
  <c r="L261" i="4"/>
  <c r="AT261" i="4"/>
  <c r="H261" i="4"/>
  <c r="F261" i="4"/>
  <c r="CJ260" i="4"/>
  <c r="CB260" i="4"/>
  <c r="BY260" i="4"/>
  <c r="BX260" i="4"/>
  <c r="BW260" i="4"/>
  <c r="BV260" i="4"/>
  <c r="BU260" i="4"/>
  <c r="BT260" i="4"/>
  <c r="BS260" i="4"/>
  <c r="BR260" i="4"/>
  <c r="BM260" i="4"/>
  <c r="BN260" i="4"/>
  <c r="BH260" i="4"/>
  <c r="BG260" i="4"/>
  <c r="BF260" i="4"/>
  <c r="BE260" i="4"/>
  <c r="AV260" i="4"/>
  <c r="AS260" i="4"/>
  <c r="AR260" i="4"/>
  <c r="AO260" i="4"/>
  <c r="BJ260" i="4"/>
  <c r="AN260" i="4"/>
  <c r="AA260" i="4"/>
  <c r="Y260" i="4"/>
  <c r="W260" i="4"/>
  <c r="L260" i="4"/>
  <c r="AT260" i="4"/>
  <c r="H260" i="4"/>
  <c r="BL260" i="4"/>
  <c r="G260" i="4"/>
  <c r="F260" i="4"/>
  <c r="CB259" i="4"/>
  <c r="BY259" i="4"/>
  <c r="BX259" i="4"/>
  <c r="BW259" i="4"/>
  <c r="BV259" i="4"/>
  <c r="BU259" i="4"/>
  <c r="BT259" i="4"/>
  <c r="BS259" i="4"/>
  <c r="BR259" i="4"/>
  <c r="BN259" i="4"/>
  <c r="BM259" i="4"/>
  <c r="BH259" i="4"/>
  <c r="BG259" i="4"/>
  <c r="BF259" i="4"/>
  <c r="BE259" i="4"/>
  <c r="AV259" i="4"/>
  <c r="AT259" i="4"/>
  <c r="AS259" i="4"/>
  <c r="AO259" i="4"/>
  <c r="BJ259" i="4"/>
  <c r="AN259" i="4"/>
  <c r="AA259" i="4"/>
  <c r="W259" i="4"/>
  <c r="Y259" i="4"/>
  <c r="U259" i="4"/>
  <c r="CJ259" i="4"/>
  <c r="L259" i="4"/>
  <c r="AR259" i="4"/>
  <c r="J259" i="4"/>
  <c r="AX259" i="4"/>
  <c r="H259" i="4"/>
  <c r="BL259" i="4"/>
  <c r="G259" i="4"/>
  <c r="F259" i="4"/>
  <c r="CB258" i="4"/>
  <c r="BY258" i="4"/>
  <c r="BX258" i="4"/>
  <c r="BW258" i="4"/>
  <c r="BV258" i="4"/>
  <c r="BU258" i="4"/>
  <c r="BT258" i="4"/>
  <c r="BS258" i="4"/>
  <c r="BR258" i="4"/>
  <c r="BM258" i="4"/>
  <c r="BN258" i="4"/>
  <c r="BJ258" i="4"/>
  <c r="BH258" i="4"/>
  <c r="BG258" i="4"/>
  <c r="BF258" i="4"/>
  <c r="BE258" i="4"/>
  <c r="AV258" i="4"/>
  <c r="AS258" i="4"/>
  <c r="AO258" i="4"/>
  <c r="AN258" i="4"/>
  <c r="AA258" i="4"/>
  <c r="U258" i="4"/>
  <c r="CJ258" i="4"/>
  <c r="L258" i="4"/>
  <c r="H258" i="4"/>
  <c r="BL258" i="4"/>
  <c r="F258" i="4"/>
  <c r="CJ257" i="4"/>
  <c r="CB257" i="4"/>
  <c r="BY257" i="4"/>
  <c r="BX257" i="4"/>
  <c r="BW257" i="4"/>
  <c r="BV257" i="4"/>
  <c r="BU257" i="4"/>
  <c r="BT257" i="4"/>
  <c r="BS257" i="4"/>
  <c r="BR257" i="4"/>
  <c r="BM257" i="4"/>
  <c r="BN257" i="4"/>
  <c r="BH257" i="4"/>
  <c r="BG257" i="4"/>
  <c r="BF257" i="4"/>
  <c r="BE257" i="4"/>
  <c r="AV257" i="4"/>
  <c r="AS257" i="4"/>
  <c r="AR257" i="4"/>
  <c r="AO257" i="4"/>
  <c r="BJ257" i="4"/>
  <c r="AN257" i="4"/>
  <c r="AA257" i="4"/>
  <c r="U257" i="4"/>
  <c r="L257" i="4"/>
  <c r="J257" i="4"/>
  <c r="AX257" i="4"/>
  <c r="H257" i="4"/>
  <c r="BL257" i="4"/>
  <c r="F257" i="4"/>
  <c r="CB256" i="4"/>
  <c r="BY256" i="4"/>
  <c r="BX256" i="4"/>
  <c r="BW256" i="4"/>
  <c r="BV256" i="4"/>
  <c r="BU256" i="4"/>
  <c r="BT256" i="4"/>
  <c r="BS256" i="4"/>
  <c r="BR256" i="4"/>
  <c r="BM256" i="4"/>
  <c r="BN256" i="4"/>
  <c r="BH256" i="4"/>
  <c r="BG256" i="4"/>
  <c r="BF256" i="4"/>
  <c r="BE256" i="4"/>
  <c r="BI256" i="4"/>
  <c r="AV256" i="4"/>
  <c r="AS256" i="4"/>
  <c r="AR256" i="4"/>
  <c r="AO256" i="4"/>
  <c r="BJ256" i="4"/>
  <c r="AN256" i="4"/>
  <c r="AA256" i="4"/>
  <c r="W256" i="4"/>
  <c r="Y256" i="4"/>
  <c r="U256" i="4"/>
  <c r="CJ256" i="4"/>
  <c r="L256" i="4"/>
  <c r="AT256" i="4"/>
  <c r="H256" i="4"/>
  <c r="BL256" i="4"/>
  <c r="G256" i="4"/>
  <c r="F256" i="4"/>
  <c r="CB255" i="4"/>
  <c r="BY255" i="4"/>
  <c r="BX255" i="4"/>
  <c r="BW255" i="4"/>
  <c r="BV255" i="4"/>
  <c r="BU255" i="4"/>
  <c r="BT255" i="4"/>
  <c r="BS255" i="4"/>
  <c r="BR255" i="4"/>
  <c r="BM255" i="4"/>
  <c r="BN255" i="4"/>
  <c r="BH255" i="4"/>
  <c r="BG255" i="4"/>
  <c r="BF255" i="4"/>
  <c r="BE255" i="4"/>
  <c r="AV255" i="4"/>
  <c r="AT255" i="4"/>
  <c r="AS255" i="4"/>
  <c r="AO255" i="4"/>
  <c r="BJ255" i="4"/>
  <c r="AN255" i="4"/>
  <c r="AA255" i="4"/>
  <c r="U255" i="4"/>
  <c r="CJ255" i="4"/>
  <c r="L255" i="4"/>
  <c r="H255" i="4"/>
  <c r="BL255" i="4"/>
  <c r="F255" i="4"/>
  <c r="CB254" i="4"/>
  <c r="BY254" i="4"/>
  <c r="BX254" i="4"/>
  <c r="BW254" i="4"/>
  <c r="BV254" i="4"/>
  <c r="BU254" i="4"/>
  <c r="BT254" i="4"/>
  <c r="BS254" i="4"/>
  <c r="BR254" i="4"/>
  <c r="BM254" i="4"/>
  <c r="BN254" i="4"/>
  <c r="BH254" i="4"/>
  <c r="BG254" i="4"/>
  <c r="BF254" i="4"/>
  <c r="BE254" i="4"/>
  <c r="BI254" i="4"/>
  <c r="AV254" i="4"/>
  <c r="AS254" i="4"/>
  <c r="AR254" i="4"/>
  <c r="AO254" i="4"/>
  <c r="BJ254" i="4"/>
  <c r="AN254" i="4"/>
  <c r="AA254" i="4"/>
  <c r="U254" i="4"/>
  <c r="CJ254" i="4"/>
  <c r="L254" i="4"/>
  <c r="W254" i="4"/>
  <c r="Y254" i="4"/>
  <c r="H254" i="4"/>
  <c r="BL254" i="4"/>
  <c r="F254" i="4"/>
  <c r="CB253" i="4"/>
  <c r="BX253" i="4"/>
  <c r="BW253" i="4"/>
  <c r="BU253" i="4"/>
  <c r="BT253" i="4"/>
  <c r="BS253" i="4"/>
  <c r="BR253" i="4"/>
  <c r="BH253" i="4"/>
  <c r="BG253" i="4"/>
  <c r="BE253" i="4"/>
  <c r="AT253" i="4"/>
  <c r="AS253" i="4"/>
  <c r="AN253" i="4"/>
  <c r="AI253" i="4"/>
  <c r="BF253" i="4"/>
  <c r="AA253" i="4"/>
  <c r="W253" i="4"/>
  <c r="Y253" i="4"/>
  <c r="U253" i="4"/>
  <c r="CJ253" i="4"/>
  <c r="L253" i="4"/>
  <c r="AR253" i="4"/>
  <c r="G253" i="4"/>
  <c r="F253" i="4"/>
  <c r="CB252" i="4"/>
  <c r="BY252" i="4"/>
  <c r="BX252" i="4"/>
  <c r="BW252" i="4"/>
  <c r="BV252" i="4"/>
  <c r="BU252" i="4"/>
  <c r="BT252" i="4"/>
  <c r="BS252" i="4"/>
  <c r="BR252" i="4"/>
  <c r="BM252" i="4"/>
  <c r="BN252" i="4"/>
  <c r="BH252" i="4"/>
  <c r="BG252" i="4"/>
  <c r="BF252" i="4"/>
  <c r="BE252" i="4"/>
  <c r="AV252" i="4"/>
  <c r="AS252" i="4"/>
  <c r="AO252" i="4"/>
  <c r="BJ252" i="4"/>
  <c r="AN252" i="4"/>
  <c r="AA252" i="4"/>
  <c r="T252" i="4"/>
  <c r="CJ252" i="4"/>
  <c r="L252" i="4"/>
  <c r="H252" i="4"/>
  <c r="BL252" i="4"/>
  <c r="F252" i="4"/>
  <c r="CB251" i="4"/>
  <c r="BY251" i="4"/>
  <c r="BX251" i="4"/>
  <c r="BW251" i="4"/>
  <c r="BV251" i="4"/>
  <c r="BU251" i="4"/>
  <c r="BT251" i="4"/>
  <c r="BS251" i="4"/>
  <c r="BR251" i="4"/>
  <c r="BM251" i="4"/>
  <c r="BN251" i="4"/>
  <c r="BH251" i="4"/>
  <c r="BG251" i="4"/>
  <c r="BF251" i="4"/>
  <c r="BE251" i="4"/>
  <c r="AV251" i="4"/>
  <c r="AS251" i="4"/>
  <c r="AR251" i="4"/>
  <c r="AO251" i="4"/>
  <c r="BJ251" i="4"/>
  <c r="AN251" i="4"/>
  <c r="AA251" i="4"/>
  <c r="W251" i="4"/>
  <c r="Y251" i="4"/>
  <c r="L251" i="4"/>
  <c r="AT251" i="4"/>
  <c r="J251" i="4"/>
  <c r="AX251" i="4"/>
  <c r="H251" i="4"/>
  <c r="BL251" i="4"/>
  <c r="F251" i="4"/>
  <c r="CB250" i="4"/>
  <c r="BY250" i="4"/>
  <c r="BX250" i="4"/>
  <c r="BW250" i="4"/>
  <c r="BV250" i="4"/>
  <c r="BU250" i="4"/>
  <c r="BT250" i="4"/>
  <c r="BS250" i="4"/>
  <c r="BR250" i="4"/>
  <c r="BZ250" i="4"/>
  <c r="BN250" i="4"/>
  <c r="BM250" i="4"/>
  <c r="BH250" i="4"/>
  <c r="BG250" i="4"/>
  <c r="BF250" i="4"/>
  <c r="BE250" i="4"/>
  <c r="AV250" i="4"/>
  <c r="AS250" i="4"/>
  <c r="AO250" i="4"/>
  <c r="BJ250" i="4"/>
  <c r="AN250" i="4"/>
  <c r="AA250" i="4"/>
  <c r="W250" i="4"/>
  <c r="Y250" i="4"/>
  <c r="U250" i="4"/>
  <c r="T250" i="4"/>
  <c r="S250" i="4"/>
  <c r="R250" i="4"/>
  <c r="L250" i="4"/>
  <c r="AR250" i="4"/>
  <c r="J250" i="4"/>
  <c r="AX250" i="4"/>
  <c r="H250" i="4"/>
  <c r="BL250" i="4"/>
  <c r="G250" i="4"/>
  <c r="F250" i="4"/>
  <c r="CB249" i="4"/>
  <c r="BY249" i="4"/>
  <c r="BX249" i="4"/>
  <c r="BW249" i="4"/>
  <c r="BV249" i="4"/>
  <c r="BU249" i="4"/>
  <c r="BT249" i="4"/>
  <c r="BS249" i="4"/>
  <c r="BR249" i="4"/>
  <c r="BN249" i="4"/>
  <c r="BM249" i="4"/>
  <c r="BH249" i="4"/>
  <c r="BG249" i="4"/>
  <c r="BF249" i="4"/>
  <c r="BE249" i="4"/>
  <c r="AV249" i="4"/>
  <c r="AS249" i="4"/>
  <c r="AO249" i="4"/>
  <c r="BJ249" i="4"/>
  <c r="AN249" i="4"/>
  <c r="AA249" i="4"/>
  <c r="U249" i="4"/>
  <c r="T249" i="4"/>
  <c r="S249" i="4"/>
  <c r="R249" i="4"/>
  <c r="L249" i="4"/>
  <c r="J249" i="4"/>
  <c r="AX249" i="4"/>
  <c r="H249" i="4"/>
  <c r="BL249" i="4"/>
  <c r="F249" i="4"/>
  <c r="CB248" i="4"/>
  <c r="BY248" i="4"/>
  <c r="BX248" i="4"/>
  <c r="BW248" i="4"/>
  <c r="BV248" i="4"/>
  <c r="BU248" i="4"/>
  <c r="BT248" i="4"/>
  <c r="BS248" i="4"/>
  <c r="BR248" i="4"/>
  <c r="BN248" i="4"/>
  <c r="BM248" i="4"/>
  <c r="BH248" i="4"/>
  <c r="BG248" i="4"/>
  <c r="BF248" i="4"/>
  <c r="BE248" i="4"/>
  <c r="AV248" i="4"/>
  <c r="AS248" i="4"/>
  <c r="AR248" i="4"/>
  <c r="AO248" i="4"/>
  <c r="BJ248" i="4"/>
  <c r="AN248" i="4"/>
  <c r="AA248" i="4"/>
  <c r="T248" i="4"/>
  <c r="S248" i="4"/>
  <c r="R248" i="4"/>
  <c r="L248" i="4"/>
  <c r="AT248" i="4"/>
  <c r="J248" i="4"/>
  <c r="AX248" i="4"/>
  <c r="H248" i="4"/>
  <c r="BL248" i="4"/>
  <c r="G248" i="4"/>
  <c r="F248" i="4"/>
  <c r="CB247" i="4"/>
  <c r="BY247" i="4"/>
  <c r="BR247" i="4"/>
  <c r="BM247" i="4"/>
  <c r="BN247" i="4"/>
  <c r="BH247" i="4"/>
  <c r="BG247" i="4"/>
  <c r="BF247" i="4"/>
  <c r="BE247" i="4"/>
  <c r="AV247" i="4"/>
  <c r="AS247" i="4"/>
  <c r="AO247" i="4"/>
  <c r="BJ247" i="4"/>
  <c r="AN247" i="4"/>
  <c r="AA247" i="4"/>
  <c r="U247" i="4"/>
  <c r="T247" i="4"/>
  <c r="S247" i="4"/>
  <c r="R247" i="4"/>
  <c r="L247" i="4"/>
  <c r="AT247" i="4"/>
  <c r="J247" i="4"/>
  <c r="AX247" i="4"/>
  <c r="H247" i="4"/>
  <c r="BL247" i="4"/>
  <c r="F247" i="4"/>
  <c r="CB246" i="4"/>
  <c r="BY246" i="4"/>
  <c r="BX246" i="4"/>
  <c r="BW246" i="4"/>
  <c r="BV246" i="4"/>
  <c r="BU246" i="4"/>
  <c r="BT246" i="4"/>
  <c r="BS246" i="4"/>
  <c r="BR246" i="4"/>
  <c r="BM246" i="4"/>
  <c r="BN246" i="4"/>
  <c r="BH246" i="4"/>
  <c r="BG246" i="4"/>
  <c r="BF246" i="4"/>
  <c r="BE246" i="4"/>
  <c r="AV246" i="4"/>
  <c r="AS246" i="4"/>
  <c r="AO246" i="4"/>
  <c r="BJ246" i="4"/>
  <c r="AN246" i="4"/>
  <c r="AA246" i="4"/>
  <c r="L246" i="4"/>
  <c r="T246" i="4"/>
  <c r="J246" i="4"/>
  <c r="AX246" i="4"/>
  <c r="H246" i="4"/>
  <c r="BL246" i="4"/>
  <c r="F246" i="4"/>
  <c r="CB245" i="4"/>
  <c r="BY245" i="4"/>
  <c r="BX245" i="4"/>
  <c r="BW245" i="4"/>
  <c r="BV245" i="4"/>
  <c r="BU245" i="4"/>
  <c r="BT245" i="4"/>
  <c r="BS245" i="4"/>
  <c r="BR245" i="4"/>
  <c r="BN245" i="4"/>
  <c r="BM245" i="4"/>
  <c r="BJ245" i="4"/>
  <c r="BH245" i="4"/>
  <c r="BG245" i="4"/>
  <c r="BF245" i="4"/>
  <c r="BE245" i="4"/>
  <c r="AV245" i="4"/>
  <c r="AS245" i="4"/>
  <c r="AO245" i="4"/>
  <c r="AN245" i="4"/>
  <c r="AA245" i="4"/>
  <c r="L245" i="4"/>
  <c r="J245" i="4"/>
  <c r="AX245" i="4"/>
  <c r="H245" i="4"/>
  <c r="BL245" i="4"/>
  <c r="F245" i="4"/>
  <c r="CB244" i="4"/>
  <c r="BY244" i="4"/>
  <c r="BX244" i="4"/>
  <c r="BW244" i="4"/>
  <c r="BV244" i="4"/>
  <c r="BU244" i="4"/>
  <c r="BT244" i="4"/>
  <c r="BS244" i="4"/>
  <c r="BR244" i="4"/>
  <c r="BM244" i="4"/>
  <c r="BN244" i="4"/>
  <c r="BJ244" i="4"/>
  <c r="BH244" i="4"/>
  <c r="BG244" i="4"/>
  <c r="BF244" i="4"/>
  <c r="BE244" i="4"/>
  <c r="AX244" i="4"/>
  <c r="AV244" i="4"/>
  <c r="AS244" i="4"/>
  <c r="AR244" i="4"/>
  <c r="AO244" i="4"/>
  <c r="AN244" i="4"/>
  <c r="AA244" i="4"/>
  <c r="S244" i="4"/>
  <c r="L244" i="4"/>
  <c r="W244" i="4"/>
  <c r="Y244" i="4"/>
  <c r="J244" i="4"/>
  <c r="H244" i="4"/>
  <c r="BL244" i="4"/>
  <c r="F244" i="4"/>
  <c r="CB243" i="4"/>
  <c r="BY243" i="4"/>
  <c r="BX243" i="4"/>
  <c r="BW243" i="4"/>
  <c r="BV243" i="4"/>
  <c r="BU243" i="4"/>
  <c r="BT243" i="4"/>
  <c r="BS243" i="4"/>
  <c r="BR243" i="4"/>
  <c r="BM243" i="4"/>
  <c r="BN243" i="4"/>
  <c r="BL243" i="4"/>
  <c r="BH243" i="4"/>
  <c r="BG243" i="4"/>
  <c r="BF243" i="4"/>
  <c r="BE243" i="4"/>
  <c r="BI243" i="4"/>
  <c r="AV243" i="4"/>
  <c r="AS243" i="4"/>
  <c r="AO243" i="4"/>
  <c r="BJ243" i="4"/>
  <c r="AN243" i="4"/>
  <c r="AA243" i="4"/>
  <c r="T243" i="4"/>
  <c r="L243" i="4"/>
  <c r="AT243" i="4"/>
  <c r="J243" i="4"/>
  <c r="AX243" i="4"/>
  <c r="H243" i="4"/>
  <c r="F243" i="4"/>
  <c r="CB242" i="4"/>
  <c r="BY242" i="4"/>
  <c r="BX242" i="4"/>
  <c r="BW242" i="4"/>
  <c r="BV242" i="4"/>
  <c r="BU242" i="4"/>
  <c r="BT242" i="4"/>
  <c r="BS242" i="4"/>
  <c r="BR242" i="4"/>
  <c r="BZ242" i="4"/>
  <c r="BM242" i="4"/>
  <c r="BN242" i="4"/>
  <c r="BH242" i="4"/>
  <c r="BG242" i="4"/>
  <c r="BF242" i="4"/>
  <c r="BE242" i="4"/>
  <c r="AX242" i="4"/>
  <c r="AV242" i="4"/>
  <c r="AS242" i="4"/>
  <c r="AO242" i="4"/>
  <c r="BJ242" i="4"/>
  <c r="AN242" i="4"/>
  <c r="AA242" i="4"/>
  <c r="L242" i="4"/>
  <c r="J242" i="4"/>
  <c r="H242" i="4"/>
  <c r="BL242" i="4"/>
  <c r="F242" i="4"/>
  <c r="CB241" i="4"/>
  <c r="BY241" i="4"/>
  <c r="BX241" i="4"/>
  <c r="BW241" i="4"/>
  <c r="BV241" i="4"/>
  <c r="BU241" i="4"/>
  <c r="BT241" i="4"/>
  <c r="BS241" i="4"/>
  <c r="BR241" i="4"/>
  <c r="BM241" i="4"/>
  <c r="BN241" i="4"/>
  <c r="BL241" i="4"/>
  <c r="BH241" i="4"/>
  <c r="BG241" i="4"/>
  <c r="BF241" i="4"/>
  <c r="BE241" i="4"/>
  <c r="BI241" i="4"/>
  <c r="AV241" i="4"/>
  <c r="AS241" i="4"/>
  <c r="AO241" i="4"/>
  <c r="BJ241" i="4"/>
  <c r="AN241" i="4"/>
  <c r="AA241" i="4"/>
  <c r="T241" i="4"/>
  <c r="R241" i="4"/>
  <c r="L241" i="4"/>
  <c r="AR241" i="4"/>
  <c r="J241" i="4"/>
  <c r="AX241" i="4"/>
  <c r="H241" i="4"/>
  <c r="G241" i="4"/>
  <c r="F241" i="4"/>
  <c r="CB240" i="4"/>
  <c r="BY240" i="4"/>
  <c r="BX240" i="4"/>
  <c r="BW240" i="4"/>
  <c r="BV240" i="4"/>
  <c r="BU240" i="4"/>
  <c r="BT240" i="4"/>
  <c r="BS240" i="4"/>
  <c r="BR240" i="4"/>
  <c r="BM240" i="4"/>
  <c r="BN240" i="4"/>
  <c r="BJ240" i="4"/>
  <c r="BH240" i="4"/>
  <c r="BG240" i="4"/>
  <c r="BF240" i="4"/>
  <c r="BE240" i="4"/>
  <c r="AV240" i="4"/>
  <c r="AS240" i="4"/>
  <c r="AO240" i="4"/>
  <c r="AN240" i="4"/>
  <c r="AA240" i="4"/>
  <c r="L240" i="4"/>
  <c r="AR240" i="4"/>
  <c r="J240" i="4"/>
  <c r="AX240" i="4"/>
  <c r="H240" i="4"/>
  <c r="BL240" i="4"/>
  <c r="F240" i="4"/>
  <c r="CB239" i="4"/>
  <c r="BY239" i="4"/>
  <c r="BX239" i="4"/>
  <c r="BW239" i="4"/>
  <c r="BV239" i="4"/>
  <c r="BU239" i="4"/>
  <c r="BT239" i="4"/>
  <c r="BS239" i="4"/>
  <c r="BR239" i="4"/>
  <c r="BN239" i="4"/>
  <c r="BM239" i="4"/>
  <c r="BH239" i="4"/>
  <c r="BG239" i="4"/>
  <c r="BF239" i="4"/>
  <c r="BE239" i="4"/>
  <c r="AV239" i="4"/>
  <c r="AS239" i="4"/>
  <c r="AO239" i="4"/>
  <c r="BJ239" i="4"/>
  <c r="AN239" i="4"/>
  <c r="AA239" i="4"/>
  <c r="S239" i="4"/>
  <c r="R239" i="4"/>
  <c r="L239" i="4"/>
  <c r="AT239" i="4"/>
  <c r="J239" i="4"/>
  <c r="AX239" i="4"/>
  <c r="H239" i="4"/>
  <c r="BL239" i="4"/>
  <c r="G239" i="4"/>
  <c r="F239" i="4"/>
  <c r="CB238" i="4"/>
  <c r="BY238" i="4"/>
  <c r="BX238" i="4"/>
  <c r="BW238" i="4"/>
  <c r="BV238" i="4"/>
  <c r="BU238" i="4"/>
  <c r="BT238" i="4"/>
  <c r="BS238" i="4"/>
  <c r="BR238" i="4"/>
  <c r="BM238" i="4"/>
  <c r="BN238" i="4"/>
  <c r="BJ238" i="4"/>
  <c r="BH238" i="4"/>
  <c r="BG238" i="4"/>
  <c r="BF238" i="4"/>
  <c r="BE238" i="4"/>
  <c r="AV238" i="4"/>
  <c r="AS238" i="4"/>
  <c r="AO238" i="4"/>
  <c r="AN238" i="4"/>
  <c r="AA238" i="4"/>
  <c r="L238" i="4"/>
  <c r="AR238" i="4"/>
  <c r="J238" i="4"/>
  <c r="AX238" i="4"/>
  <c r="H238" i="4"/>
  <c r="BL238" i="4"/>
  <c r="F238" i="4"/>
  <c r="CB237" i="4"/>
  <c r="BY237" i="4"/>
  <c r="BX237" i="4"/>
  <c r="BW237" i="4"/>
  <c r="BV237" i="4"/>
  <c r="BU237" i="4"/>
  <c r="BT237" i="4"/>
  <c r="BS237" i="4"/>
  <c r="BR237" i="4"/>
  <c r="BN237" i="4"/>
  <c r="BM237" i="4"/>
  <c r="BH237" i="4"/>
  <c r="BG237" i="4"/>
  <c r="BF237" i="4"/>
  <c r="BE237" i="4"/>
  <c r="AV237" i="4"/>
  <c r="AS237" i="4"/>
  <c r="AO237" i="4"/>
  <c r="BJ237" i="4"/>
  <c r="AN237" i="4"/>
  <c r="AA237" i="4"/>
  <c r="W237" i="4"/>
  <c r="Y237" i="4"/>
  <c r="L237" i="4"/>
  <c r="AR237" i="4"/>
  <c r="J237" i="4"/>
  <c r="AX237" i="4"/>
  <c r="H237" i="4"/>
  <c r="BL237" i="4"/>
  <c r="F237" i="4"/>
  <c r="CB236" i="4"/>
  <c r="BY236" i="4"/>
  <c r="BX236" i="4"/>
  <c r="BW236" i="4"/>
  <c r="BV236" i="4"/>
  <c r="BU236" i="4"/>
  <c r="BT236" i="4"/>
  <c r="BS236" i="4"/>
  <c r="BR236" i="4"/>
  <c r="BZ236" i="4"/>
  <c r="BM236" i="4"/>
  <c r="BN236" i="4"/>
  <c r="BH236" i="4"/>
  <c r="BG236" i="4"/>
  <c r="BF236" i="4"/>
  <c r="BE236" i="4"/>
  <c r="AV236" i="4"/>
  <c r="AS236" i="4"/>
  <c r="AR236" i="4"/>
  <c r="AO236" i="4"/>
  <c r="BJ236" i="4"/>
  <c r="AN236" i="4"/>
  <c r="AA236" i="4"/>
  <c r="W236" i="4"/>
  <c r="Y236" i="4"/>
  <c r="U236" i="4"/>
  <c r="T236" i="4"/>
  <c r="S236" i="4"/>
  <c r="R236" i="4"/>
  <c r="CJ236" i="4"/>
  <c r="L236" i="4"/>
  <c r="AT236" i="4"/>
  <c r="H236" i="4"/>
  <c r="BL236" i="4"/>
  <c r="G236" i="4"/>
  <c r="F236" i="4"/>
  <c r="CB235" i="4"/>
  <c r="BY235" i="4"/>
  <c r="BX235" i="4"/>
  <c r="BW235" i="4"/>
  <c r="BV235" i="4"/>
  <c r="BU235" i="4"/>
  <c r="BT235" i="4"/>
  <c r="BS235" i="4"/>
  <c r="BR235" i="4"/>
  <c r="BM235" i="4"/>
  <c r="BN235" i="4"/>
  <c r="BH235" i="4"/>
  <c r="BG235" i="4"/>
  <c r="BF235" i="4"/>
  <c r="BE235" i="4"/>
  <c r="BI235" i="4"/>
  <c r="AV235" i="4"/>
  <c r="AS235" i="4"/>
  <c r="AO235" i="4"/>
  <c r="BJ235" i="4"/>
  <c r="AN235" i="4"/>
  <c r="AA235" i="4"/>
  <c r="U235" i="4"/>
  <c r="T235" i="4"/>
  <c r="R235" i="4"/>
  <c r="L235" i="4"/>
  <c r="AT235" i="4"/>
  <c r="J235" i="4"/>
  <c r="AX235" i="4"/>
  <c r="H235" i="4"/>
  <c r="BL235" i="4"/>
  <c r="G235" i="4"/>
  <c r="F235" i="4"/>
  <c r="CB234" i="4"/>
  <c r="BY234" i="4"/>
  <c r="BX234" i="4"/>
  <c r="BW234" i="4"/>
  <c r="BV234" i="4"/>
  <c r="BU234" i="4"/>
  <c r="BT234" i="4"/>
  <c r="BS234" i="4"/>
  <c r="BR234" i="4"/>
  <c r="BM234" i="4"/>
  <c r="BN234" i="4"/>
  <c r="BH234" i="4"/>
  <c r="BG234" i="4"/>
  <c r="BF234" i="4"/>
  <c r="BE234" i="4"/>
  <c r="BI234" i="4"/>
  <c r="AV234" i="4"/>
  <c r="AS234" i="4"/>
  <c r="AO234" i="4"/>
  <c r="BJ234" i="4"/>
  <c r="AN234" i="4"/>
  <c r="AA234" i="4"/>
  <c r="L234" i="4"/>
  <c r="AT234" i="4"/>
  <c r="H234" i="4"/>
  <c r="BL234" i="4"/>
  <c r="F234" i="4"/>
  <c r="BX233" i="4"/>
  <c r="BW233" i="4"/>
  <c r="BV233" i="4"/>
  <c r="BU233" i="4"/>
  <c r="BT233" i="4"/>
  <c r="BS233" i="4"/>
  <c r="BR233" i="4"/>
  <c r="BH233" i="4"/>
  <c r="BF233" i="4"/>
  <c r="BE233" i="4"/>
  <c r="BI233" i="4"/>
  <c r="AN233" i="4"/>
  <c r="AK233" i="4"/>
  <c r="BG233" i="4"/>
  <c r="AA233" i="4"/>
  <c r="L233" i="4"/>
  <c r="AR233" i="4"/>
  <c r="F233" i="4"/>
  <c r="CB232" i="4"/>
  <c r="BY232" i="4"/>
  <c r="BX232" i="4"/>
  <c r="BW232" i="4"/>
  <c r="BV232" i="4"/>
  <c r="BU232" i="4"/>
  <c r="BT232" i="4"/>
  <c r="BS232" i="4"/>
  <c r="BR232" i="4"/>
  <c r="BM232" i="4"/>
  <c r="BN232" i="4"/>
  <c r="BL232" i="4"/>
  <c r="BH232" i="4"/>
  <c r="BG232" i="4"/>
  <c r="BF232" i="4"/>
  <c r="BE232" i="4"/>
  <c r="AV232" i="4"/>
  <c r="AS232" i="4"/>
  <c r="AO232" i="4"/>
  <c r="BJ232" i="4"/>
  <c r="AN232" i="4"/>
  <c r="AA232" i="4"/>
  <c r="L232" i="4"/>
  <c r="H232" i="4"/>
  <c r="F232" i="4"/>
  <c r="CB231" i="4"/>
  <c r="BY231" i="4"/>
  <c r="BX231" i="4"/>
  <c r="BW231" i="4"/>
  <c r="BV231" i="4"/>
  <c r="BU231" i="4"/>
  <c r="BT231" i="4"/>
  <c r="BS231" i="4"/>
  <c r="BR231" i="4"/>
  <c r="BM231" i="4"/>
  <c r="BN231" i="4"/>
  <c r="BH231" i="4"/>
  <c r="BG231" i="4"/>
  <c r="BF231" i="4"/>
  <c r="BE231" i="4"/>
  <c r="BI231" i="4"/>
  <c r="AV231" i="4"/>
  <c r="AS231" i="4"/>
  <c r="AO231" i="4"/>
  <c r="BJ231" i="4"/>
  <c r="AN231" i="4"/>
  <c r="AA231" i="4"/>
  <c r="L231" i="4"/>
  <c r="AT231" i="4"/>
  <c r="H231" i="4"/>
  <c r="BL231" i="4"/>
  <c r="F231" i="4"/>
  <c r="CB230" i="4"/>
  <c r="BY230" i="4"/>
  <c r="BX230" i="4"/>
  <c r="BW230" i="4"/>
  <c r="BV230" i="4"/>
  <c r="BU230" i="4"/>
  <c r="BT230" i="4"/>
  <c r="BS230" i="4"/>
  <c r="BR230" i="4"/>
  <c r="BM230" i="4"/>
  <c r="BN230" i="4"/>
  <c r="BL230" i="4"/>
  <c r="BH230" i="4"/>
  <c r="BG230" i="4"/>
  <c r="BF230" i="4"/>
  <c r="BE230" i="4"/>
  <c r="AV230" i="4"/>
  <c r="AS230" i="4"/>
  <c r="AO230" i="4"/>
  <c r="BJ230" i="4"/>
  <c r="AN230" i="4"/>
  <c r="AA230" i="4"/>
  <c r="L230" i="4"/>
  <c r="W230" i="4"/>
  <c r="Y230" i="4"/>
  <c r="H230" i="4"/>
  <c r="F230" i="4"/>
  <c r="CB229" i="4"/>
  <c r="BY229" i="4"/>
  <c r="BX229" i="4"/>
  <c r="BW229" i="4"/>
  <c r="BV229" i="4"/>
  <c r="BU229" i="4"/>
  <c r="BT229" i="4"/>
  <c r="BS229" i="4"/>
  <c r="BR229" i="4"/>
  <c r="BM229" i="4"/>
  <c r="BN229" i="4"/>
  <c r="BJ229" i="4"/>
  <c r="BH229" i="4"/>
  <c r="BG229" i="4"/>
  <c r="BF229" i="4"/>
  <c r="BE229" i="4"/>
  <c r="BI229" i="4"/>
  <c r="AV229" i="4"/>
  <c r="AS229" i="4"/>
  <c r="AO229" i="4"/>
  <c r="AN229" i="4"/>
  <c r="AA229" i="4"/>
  <c r="L229" i="4"/>
  <c r="H229" i="4"/>
  <c r="BL229" i="4"/>
  <c r="F229" i="4"/>
  <c r="CB228" i="4"/>
  <c r="BY228" i="4"/>
  <c r="BX228" i="4"/>
  <c r="BW228" i="4"/>
  <c r="BV228" i="4"/>
  <c r="BU228" i="4"/>
  <c r="BT228" i="4"/>
  <c r="BS228" i="4"/>
  <c r="BR228" i="4"/>
  <c r="BN228" i="4"/>
  <c r="BM228" i="4"/>
  <c r="BH228" i="4"/>
  <c r="BG228" i="4"/>
  <c r="BF228" i="4"/>
  <c r="BE228" i="4"/>
  <c r="AV228" i="4"/>
  <c r="AT228" i="4"/>
  <c r="AS228" i="4"/>
  <c r="AO228" i="4"/>
  <c r="BJ228" i="4"/>
  <c r="AN228" i="4"/>
  <c r="AA228" i="4"/>
  <c r="U228" i="4"/>
  <c r="L228" i="4"/>
  <c r="H228" i="4"/>
  <c r="BL228" i="4"/>
  <c r="F228" i="4"/>
  <c r="CB227" i="4"/>
  <c r="BY227" i="4"/>
  <c r="BX227" i="4"/>
  <c r="BW227" i="4"/>
  <c r="BV227" i="4"/>
  <c r="BU227" i="4"/>
  <c r="BT227" i="4"/>
  <c r="BS227" i="4"/>
  <c r="BR227" i="4"/>
  <c r="BM227" i="4"/>
  <c r="BN227" i="4"/>
  <c r="BH227" i="4"/>
  <c r="BG227" i="4"/>
  <c r="BF227" i="4"/>
  <c r="BE227" i="4"/>
  <c r="AX227" i="4"/>
  <c r="AV227" i="4"/>
  <c r="AS227" i="4"/>
  <c r="AO227" i="4"/>
  <c r="BJ227" i="4"/>
  <c r="AN227" i="4"/>
  <c r="AA227" i="4"/>
  <c r="L227" i="4"/>
  <c r="W227" i="4"/>
  <c r="Y227" i="4"/>
  <c r="J227" i="4"/>
  <c r="H227" i="4"/>
  <c r="BL227" i="4"/>
  <c r="F227" i="4"/>
  <c r="CB226" i="4"/>
  <c r="BU226" i="4"/>
  <c r="BS226" i="4"/>
  <c r="BR226" i="4"/>
  <c r="BM226" i="4"/>
  <c r="BN226" i="4"/>
  <c r="BL226" i="4"/>
  <c r="BH226" i="4"/>
  <c r="BG226" i="4"/>
  <c r="BF226" i="4"/>
  <c r="BE226" i="4"/>
  <c r="BI226" i="4"/>
  <c r="AV226" i="4"/>
  <c r="AS226" i="4"/>
  <c r="AO226" i="4"/>
  <c r="BJ226" i="4"/>
  <c r="AN226" i="4"/>
  <c r="AA226" i="4"/>
  <c r="U226" i="4"/>
  <c r="T226" i="4"/>
  <c r="S226" i="4"/>
  <c r="R226" i="4"/>
  <c r="L226" i="4"/>
  <c r="AR226" i="4"/>
  <c r="J226" i="4"/>
  <c r="AX226" i="4"/>
  <c r="H226" i="4"/>
  <c r="F226" i="4"/>
  <c r="CB225" i="4"/>
  <c r="BY225" i="4"/>
  <c r="BX225" i="4"/>
  <c r="BW225" i="4"/>
  <c r="BV225" i="4"/>
  <c r="BU225" i="4"/>
  <c r="BT225" i="4"/>
  <c r="BS225" i="4"/>
  <c r="BR225" i="4"/>
  <c r="BM225" i="4"/>
  <c r="BN225" i="4"/>
  <c r="BH225" i="4"/>
  <c r="BG225" i="4"/>
  <c r="BF225" i="4"/>
  <c r="BE225" i="4"/>
  <c r="AV225" i="4"/>
  <c r="AS225" i="4"/>
  <c r="AO225" i="4"/>
  <c r="BJ225" i="4"/>
  <c r="AN225" i="4"/>
  <c r="AA225" i="4"/>
  <c r="L225" i="4"/>
  <c r="H225" i="4"/>
  <c r="BL225" i="4"/>
  <c r="F225" i="4"/>
  <c r="BX224" i="4"/>
  <c r="BW224" i="4"/>
  <c r="BU224" i="4"/>
  <c r="BT224" i="4"/>
  <c r="BS224" i="4"/>
  <c r="BR224" i="4"/>
  <c r="BH224" i="4"/>
  <c r="BG224" i="4"/>
  <c r="BE224" i="4"/>
  <c r="AR224" i="4"/>
  <c r="AN224" i="4"/>
  <c r="AI224" i="4"/>
  <c r="AA224" i="4"/>
  <c r="W224" i="4"/>
  <c r="Y224" i="4"/>
  <c r="T224" i="4"/>
  <c r="R224" i="4"/>
  <c r="L224" i="4"/>
  <c r="S224" i="4"/>
  <c r="F224" i="4"/>
  <c r="CB223" i="4"/>
  <c r="BY223" i="4"/>
  <c r="BX223" i="4"/>
  <c r="BW223" i="4"/>
  <c r="BV223" i="4"/>
  <c r="BU223" i="4"/>
  <c r="BT223" i="4"/>
  <c r="BS223" i="4"/>
  <c r="BR223" i="4"/>
  <c r="BM223" i="4"/>
  <c r="BN223" i="4"/>
  <c r="BL223" i="4"/>
  <c r="BH223" i="4"/>
  <c r="BG223" i="4"/>
  <c r="BF223" i="4"/>
  <c r="BE223" i="4"/>
  <c r="AV223" i="4"/>
  <c r="AS223" i="4"/>
  <c r="AO223" i="4"/>
  <c r="BJ223" i="4"/>
  <c r="AN223" i="4"/>
  <c r="AA223" i="4"/>
  <c r="L223" i="4"/>
  <c r="AT223" i="4"/>
  <c r="H223" i="4"/>
  <c r="F223" i="4"/>
  <c r="CB222" i="4"/>
  <c r="BY222" i="4"/>
  <c r="BX222" i="4"/>
  <c r="BW222" i="4"/>
  <c r="BV222" i="4"/>
  <c r="BU222" i="4"/>
  <c r="BT222" i="4"/>
  <c r="BS222" i="4"/>
  <c r="BR222" i="4"/>
  <c r="BM222" i="4"/>
  <c r="BN222" i="4"/>
  <c r="BH222" i="4"/>
  <c r="BG222" i="4"/>
  <c r="BF222" i="4"/>
  <c r="BE222" i="4"/>
  <c r="AX222" i="4"/>
  <c r="AV222" i="4"/>
  <c r="AS222" i="4"/>
  <c r="AO222" i="4"/>
  <c r="BJ222" i="4"/>
  <c r="AN222" i="4"/>
  <c r="AA222" i="4"/>
  <c r="L222" i="4"/>
  <c r="J222" i="4"/>
  <c r="H222" i="4"/>
  <c r="BL222" i="4"/>
  <c r="F222" i="4"/>
  <c r="CB221" i="4"/>
  <c r="BY221" i="4"/>
  <c r="BX221" i="4"/>
  <c r="BW221" i="4"/>
  <c r="BV221" i="4"/>
  <c r="BU221" i="4"/>
  <c r="BT221" i="4"/>
  <c r="BS221" i="4"/>
  <c r="BR221" i="4"/>
  <c r="BM221" i="4"/>
  <c r="BN221" i="4"/>
  <c r="BL221" i="4"/>
  <c r="BH221" i="4"/>
  <c r="BG221" i="4"/>
  <c r="BF221" i="4"/>
  <c r="BE221" i="4"/>
  <c r="AV221" i="4"/>
  <c r="AS221" i="4"/>
  <c r="AO221" i="4"/>
  <c r="BJ221" i="4"/>
  <c r="AN221" i="4"/>
  <c r="AA221" i="4"/>
  <c r="L221" i="4"/>
  <c r="J221" i="4"/>
  <c r="AX221" i="4"/>
  <c r="H221" i="4"/>
  <c r="F221" i="4"/>
  <c r="CB220" i="4"/>
  <c r="BY220" i="4"/>
  <c r="BX220" i="4"/>
  <c r="BW220" i="4"/>
  <c r="BV220" i="4"/>
  <c r="BU220" i="4"/>
  <c r="BT220" i="4"/>
  <c r="BS220" i="4"/>
  <c r="BR220" i="4"/>
  <c r="BZ220" i="4"/>
  <c r="BM220" i="4"/>
  <c r="BN220" i="4"/>
  <c r="BH220" i="4"/>
  <c r="BG220" i="4"/>
  <c r="BF220" i="4"/>
  <c r="BE220" i="4"/>
  <c r="AX220" i="4"/>
  <c r="AV220" i="4"/>
  <c r="AS220" i="4"/>
  <c r="AO220" i="4"/>
  <c r="BJ220" i="4"/>
  <c r="AN220" i="4"/>
  <c r="AA220" i="4"/>
  <c r="L220" i="4"/>
  <c r="AR220" i="4"/>
  <c r="J220" i="4"/>
  <c r="H220" i="4"/>
  <c r="BL220" i="4"/>
  <c r="F220" i="4"/>
  <c r="CB219" i="4"/>
  <c r="BY219" i="4"/>
  <c r="BX219" i="4"/>
  <c r="BW219" i="4"/>
  <c r="BV219" i="4"/>
  <c r="BU219" i="4"/>
  <c r="BT219" i="4"/>
  <c r="BS219" i="4"/>
  <c r="BR219" i="4"/>
  <c r="BM219" i="4"/>
  <c r="BN219" i="4"/>
  <c r="BL219" i="4"/>
  <c r="BH219" i="4"/>
  <c r="BG219" i="4"/>
  <c r="BF219" i="4"/>
  <c r="BE219" i="4"/>
  <c r="AV219" i="4"/>
  <c r="AS219" i="4"/>
  <c r="AO219" i="4"/>
  <c r="BJ219" i="4"/>
  <c r="AN219" i="4"/>
  <c r="AA219" i="4"/>
  <c r="L219" i="4"/>
  <c r="J219" i="4"/>
  <c r="H219" i="4"/>
  <c r="F219" i="4"/>
  <c r="CN218" i="4"/>
  <c r="AM218" i="4"/>
  <c r="BH218" i="4"/>
  <c r="AL218" i="4"/>
  <c r="AK218" i="4"/>
  <c r="BG218" i="4"/>
  <c r="AJ218" i="4"/>
  <c r="AH218" i="4"/>
  <c r="AG218" i="4"/>
  <c r="BE218" i="4"/>
  <c r="AF218" i="4"/>
  <c r="AE218" i="4"/>
  <c r="AD218" i="4"/>
  <c r="AD24" i="4"/>
  <c r="AC218" i="4"/>
  <c r="AB218" i="4"/>
  <c r="Z218" i="4"/>
  <c r="X218" i="4"/>
  <c r="V218" i="4"/>
  <c r="Q218" i="4"/>
  <c r="P218" i="4"/>
  <c r="O218" i="4"/>
  <c r="N218" i="4"/>
  <c r="M218" i="4"/>
  <c r="K218" i="4"/>
  <c r="CJ217" i="4"/>
  <c r="CB217" i="4"/>
  <c r="BM217" i="4"/>
  <c r="BN217" i="4"/>
  <c r="BH217" i="4"/>
  <c r="BG217" i="4"/>
  <c r="BF217" i="4"/>
  <c r="BE217" i="4"/>
  <c r="AV217" i="4"/>
  <c r="AS217" i="4"/>
  <c r="AO217" i="4"/>
  <c r="AN217" i="4"/>
  <c r="AA217" i="4"/>
  <c r="L217" i="4"/>
  <c r="CJ216" i="4"/>
  <c r="CB216" i="4"/>
  <c r="BY216" i="4"/>
  <c r="BX216" i="4"/>
  <c r="BW216" i="4"/>
  <c r="BV216" i="4"/>
  <c r="BU216" i="4"/>
  <c r="BT216" i="4"/>
  <c r="BS216" i="4"/>
  <c r="BR216" i="4"/>
  <c r="BM216" i="4"/>
  <c r="BN216" i="4"/>
  <c r="BL216" i="4"/>
  <c r="BH216" i="4"/>
  <c r="BG216" i="4"/>
  <c r="BF216" i="4"/>
  <c r="BE216" i="4"/>
  <c r="AV216" i="4"/>
  <c r="AT216" i="4"/>
  <c r="AS216" i="4"/>
  <c r="AR216" i="4"/>
  <c r="AO216" i="4"/>
  <c r="BJ216" i="4"/>
  <c r="AN216" i="4"/>
  <c r="AA216" i="4"/>
  <c r="Y216" i="4"/>
  <c r="L216" i="4"/>
  <c r="W216" i="4"/>
  <c r="H216" i="4"/>
  <c r="F216" i="4"/>
  <c r="CJ215" i="4"/>
  <c r="CB215" i="4"/>
  <c r="BY215" i="4"/>
  <c r="BX215" i="4"/>
  <c r="BW215" i="4"/>
  <c r="BV215" i="4"/>
  <c r="BU215" i="4"/>
  <c r="BT215" i="4"/>
  <c r="BS215" i="4"/>
  <c r="BR215" i="4"/>
  <c r="BM215" i="4"/>
  <c r="BN215" i="4"/>
  <c r="BH215" i="4"/>
  <c r="BG215" i="4"/>
  <c r="BF215" i="4"/>
  <c r="BE215" i="4"/>
  <c r="AV215" i="4"/>
  <c r="AS215" i="4"/>
  <c r="AO215" i="4"/>
  <c r="BJ215" i="4"/>
  <c r="AN215" i="4"/>
  <c r="AA215" i="4"/>
  <c r="L215" i="4"/>
  <c r="AT215" i="4"/>
  <c r="H215" i="4"/>
  <c r="BL215" i="4"/>
  <c r="F215" i="4"/>
  <c r="CJ214" i="4"/>
  <c r="CB214" i="4"/>
  <c r="BY214" i="4"/>
  <c r="BX214" i="4"/>
  <c r="BW214" i="4"/>
  <c r="BV214" i="4"/>
  <c r="BU214" i="4"/>
  <c r="BT214" i="4"/>
  <c r="BS214" i="4"/>
  <c r="BR214" i="4"/>
  <c r="BM214" i="4"/>
  <c r="BN214" i="4"/>
  <c r="BH214" i="4"/>
  <c r="BG214" i="4"/>
  <c r="BF214" i="4"/>
  <c r="BE214" i="4"/>
  <c r="AV214" i="4"/>
  <c r="AS214" i="4"/>
  <c r="AO214" i="4"/>
  <c r="BJ214" i="4"/>
  <c r="AN214" i="4"/>
  <c r="AA214" i="4"/>
  <c r="L214" i="4"/>
  <c r="H214" i="4"/>
  <c r="BL214" i="4"/>
  <c r="F214" i="4"/>
  <c r="CJ213" i="4"/>
  <c r="CB213" i="4"/>
  <c r="BY213" i="4"/>
  <c r="BX213" i="4"/>
  <c r="BW213" i="4"/>
  <c r="BV213" i="4"/>
  <c r="BU213" i="4"/>
  <c r="BT213" i="4"/>
  <c r="BS213" i="4"/>
  <c r="BR213" i="4"/>
  <c r="BM213" i="4"/>
  <c r="BN213" i="4"/>
  <c r="BH213" i="4"/>
  <c r="BG213" i="4"/>
  <c r="BF213" i="4"/>
  <c r="BE213" i="4"/>
  <c r="AV213" i="4"/>
  <c r="AS213" i="4"/>
  <c r="AO213" i="4"/>
  <c r="BJ213" i="4"/>
  <c r="AN213" i="4"/>
  <c r="AA213" i="4"/>
  <c r="L213" i="4"/>
  <c r="H213" i="4"/>
  <c r="BL213" i="4"/>
  <c r="F213" i="4"/>
  <c r="CB212" i="4"/>
  <c r="BY212" i="4"/>
  <c r="BX212" i="4"/>
  <c r="BW212" i="4"/>
  <c r="BV212" i="4"/>
  <c r="BU212" i="4"/>
  <c r="BT212" i="4"/>
  <c r="BS212" i="4"/>
  <c r="BR212" i="4"/>
  <c r="BM212" i="4"/>
  <c r="BN212" i="4"/>
  <c r="BH212" i="4"/>
  <c r="BG212" i="4"/>
  <c r="BF212" i="4"/>
  <c r="BE212" i="4"/>
  <c r="AV212" i="4"/>
  <c r="AS212" i="4"/>
  <c r="AR212" i="4"/>
  <c r="AO212" i="4"/>
  <c r="BJ212" i="4"/>
  <c r="AN212" i="4"/>
  <c r="AA212" i="4"/>
  <c r="S212" i="4"/>
  <c r="L212" i="4"/>
  <c r="W212" i="4"/>
  <c r="Y212" i="4"/>
  <c r="H212" i="4"/>
  <c r="BL212" i="4"/>
  <c r="G212" i="4"/>
  <c r="F212" i="4"/>
  <c r="CB211" i="4"/>
  <c r="BY211" i="4"/>
  <c r="BX211" i="4"/>
  <c r="BW211" i="4"/>
  <c r="BV211" i="4"/>
  <c r="BU211" i="4"/>
  <c r="BT211" i="4"/>
  <c r="BS211" i="4"/>
  <c r="BR211" i="4"/>
  <c r="BM211" i="4"/>
  <c r="BN211" i="4"/>
  <c r="BH211" i="4"/>
  <c r="BG211" i="4"/>
  <c r="BF211" i="4"/>
  <c r="BE211" i="4"/>
  <c r="AV211" i="4"/>
  <c r="AS211" i="4"/>
  <c r="AO211" i="4"/>
  <c r="BJ211" i="4"/>
  <c r="AN211" i="4"/>
  <c r="AA211" i="4"/>
  <c r="U211" i="4"/>
  <c r="T211" i="4"/>
  <c r="S211" i="4"/>
  <c r="R211" i="4"/>
  <c r="L211" i="4"/>
  <c r="H211" i="4"/>
  <c r="BL211" i="4"/>
  <c r="F211" i="4"/>
  <c r="CB210" i="4"/>
  <c r="BY210" i="4"/>
  <c r="BX210" i="4"/>
  <c r="BW210" i="4"/>
  <c r="BV210" i="4"/>
  <c r="BU210" i="4"/>
  <c r="BT210" i="4"/>
  <c r="BS210" i="4"/>
  <c r="BR210" i="4"/>
  <c r="BN210" i="4"/>
  <c r="BM210" i="4"/>
  <c r="BH210" i="4"/>
  <c r="BG210" i="4"/>
  <c r="BF210" i="4"/>
  <c r="BE210" i="4"/>
  <c r="AV210" i="4"/>
  <c r="AS210" i="4"/>
  <c r="AO210" i="4"/>
  <c r="BJ210" i="4"/>
  <c r="AN210" i="4"/>
  <c r="AA210" i="4"/>
  <c r="W210" i="4"/>
  <c r="Y210" i="4"/>
  <c r="U210" i="4"/>
  <c r="T210" i="4"/>
  <c r="S210" i="4"/>
  <c r="R210" i="4"/>
  <c r="L210" i="4"/>
  <c r="AT210" i="4"/>
  <c r="J210" i="4"/>
  <c r="AX210" i="4"/>
  <c r="H210" i="4"/>
  <c r="BL210" i="4"/>
  <c r="G210" i="4"/>
  <c r="F210" i="4"/>
  <c r="CB209" i="4"/>
  <c r="BY209" i="4"/>
  <c r="BX209" i="4"/>
  <c r="BW209" i="4"/>
  <c r="BV209" i="4"/>
  <c r="BU209" i="4"/>
  <c r="BT209" i="4"/>
  <c r="BS209" i="4"/>
  <c r="BR209" i="4"/>
  <c r="BM209" i="4"/>
  <c r="BN209" i="4"/>
  <c r="BH209" i="4"/>
  <c r="BG209" i="4"/>
  <c r="BF209" i="4"/>
  <c r="BE209" i="4"/>
  <c r="AV209" i="4"/>
  <c r="AS209" i="4"/>
  <c r="AO209" i="4"/>
  <c r="BJ209" i="4"/>
  <c r="AN209" i="4"/>
  <c r="AA209" i="4"/>
  <c r="P209" i="4"/>
  <c r="J209" i="4"/>
  <c r="AX209" i="4"/>
  <c r="H209" i="4"/>
  <c r="BL209" i="4"/>
  <c r="F209" i="4"/>
  <c r="CB208" i="4"/>
  <c r="BY208" i="4"/>
  <c r="BX208" i="4"/>
  <c r="BW208" i="4"/>
  <c r="BV208" i="4"/>
  <c r="BU208" i="4"/>
  <c r="BT208" i="4"/>
  <c r="BS208" i="4"/>
  <c r="BR208" i="4"/>
  <c r="BM208" i="4"/>
  <c r="BN208" i="4"/>
  <c r="BH208" i="4"/>
  <c r="BG208" i="4"/>
  <c r="BF208" i="4"/>
  <c r="BE208" i="4"/>
  <c r="AV208" i="4"/>
  <c r="AS208" i="4"/>
  <c r="AO208" i="4"/>
  <c r="BJ208" i="4"/>
  <c r="AN208" i="4"/>
  <c r="AA208" i="4"/>
  <c r="R208" i="4"/>
  <c r="L208" i="4"/>
  <c r="H208" i="4"/>
  <c r="BL208" i="4"/>
  <c r="F208" i="4"/>
  <c r="CB207" i="4"/>
  <c r="BY207" i="4"/>
  <c r="BX207" i="4"/>
  <c r="BW207" i="4"/>
  <c r="BV207" i="4"/>
  <c r="BU207" i="4"/>
  <c r="BT207" i="4"/>
  <c r="BS207" i="4"/>
  <c r="BR207" i="4"/>
  <c r="BZ207" i="4"/>
  <c r="BM207" i="4"/>
  <c r="BN207" i="4"/>
  <c r="BH207" i="4"/>
  <c r="BG207" i="4"/>
  <c r="BF207" i="4"/>
  <c r="BE207" i="4"/>
  <c r="AV207" i="4"/>
  <c r="AS207" i="4"/>
  <c r="AO207" i="4"/>
  <c r="BJ207" i="4"/>
  <c r="AN207" i="4"/>
  <c r="AA207" i="4"/>
  <c r="L207" i="4"/>
  <c r="AT207" i="4"/>
  <c r="J207" i="4"/>
  <c r="AX207" i="4"/>
  <c r="H207" i="4"/>
  <c r="BL207" i="4"/>
  <c r="F207" i="4"/>
  <c r="CB206" i="4"/>
  <c r="BY206" i="4"/>
  <c r="BX206" i="4"/>
  <c r="BW206" i="4"/>
  <c r="BV206" i="4"/>
  <c r="BU206" i="4"/>
  <c r="BT206" i="4"/>
  <c r="BS206" i="4"/>
  <c r="BR206" i="4"/>
  <c r="BM206" i="4"/>
  <c r="BN206" i="4"/>
  <c r="BH206" i="4"/>
  <c r="BG206" i="4"/>
  <c r="BF206" i="4"/>
  <c r="BE206" i="4"/>
  <c r="AV206" i="4"/>
  <c r="AS206" i="4"/>
  <c r="AO206" i="4"/>
  <c r="BJ206" i="4"/>
  <c r="AA206" i="4"/>
  <c r="L206" i="4"/>
  <c r="J206" i="4"/>
  <c r="AX206" i="4"/>
  <c r="H206" i="4"/>
  <c r="BL206" i="4"/>
  <c r="F206" i="4"/>
  <c r="CB205" i="4"/>
  <c r="BY205" i="4"/>
  <c r="BX205" i="4"/>
  <c r="BW205" i="4"/>
  <c r="BV205" i="4"/>
  <c r="BU205" i="4"/>
  <c r="BT205" i="4"/>
  <c r="BS205" i="4"/>
  <c r="BR205" i="4"/>
  <c r="BN205" i="4"/>
  <c r="BM205" i="4"/>
  <c r="BH205" i="4"/>
  <c r="BG205" i="4"/>
  <c r="BF205" i="4"/>
  <c r="BE205" i="4"/>
  <c r="AV205" i="4"/>
  <c r="AS205" i="4"/>
  <c r="AO205" i="4"/>
  <c r="BJ205" i="4"/>
  <c r="AN205" i="4"/>
  <c r="AA205" i="4"/>
  <c r="AA201" i="4"/>
  <c r="W205" i="4"/>
  <c r="Y205" i="4"/>
  <c r="L205" i="4"/>
  <c r="J205" i="4"/>
  <c r="H205" i="4"/>
  <c r="BL205" i="4"/>
  <c r="F205" i="4"/>
  <c r="CB204" i="4"/>
  <c r="BY204" i="4"/>
  <c r="BX204" i="4"/>
  <c r="BW204" i="4"/>
  <c r="BV204" i="4"/>
  <c r="BU204" i="4"/>
  <c r="BT204" i="4"/>
  <c r="BS204" i="4"/>
  <c r="BR204" i="4"/>
  <c r="BM204" i="4"/>
  <c r="BN204" i="4"/>
  <c r="BH204" i="4"/>
  <c r="BG204" i="4"/>
  <c r="BF204" i="4"/>
  <c r="BE204" i="4"/>
  <c r="AV204" i="4"/>
  <c r="AS204" i="4"/>
  <c r="AO204" i="4"/>
  <c r="BJ204" i="4"/>
  <c r="AN204" i="4"/>
  <c r="AA204" i="4"/>
  <c r="U204" i="4"/>
  <c r="T204" i="4"/>
  <c r="S204" i="4"/>
  <c r="R204" i="4"/>
  <c r="L204" i="4"/>
  <c r="AT204" i="4"/>
  <c r="H204" i="4"/>
  <c r="BL204" i="4"/>
  <c r="F204" i="4"/>
  <c r="CB203" i="4"/>
  <c r="BY203" i="4"/>
  <c r="BX203" i="4"/>
  <c r="BW203" i="4"/>
  <c r="BV203" i="4"/>
  <c r="BU203" i="4"/>
  <c r="BT203" i="4"/>
  <c r="BS203" i="4"/>
  <c r="BR203" i="4"/>
  <c r="BN203" i="4"/>
  <c r="BM203" i="4"/>
  <c r="BH203" i="4"/>
  <c r="BG203" i="4"/>
  <c r="BF203" i="4"/>
  <c r="BE203" i="4"/>
  <c r="AV203" i="4"/>
  <c r="AS203" i="4"/>
  <c r="AO203" i="4"/>
  <c r="BJ203" i="4"/>
  <c r="AN203" i="4"/>
  <c r="AA203" i="4"/>
  <c r="U203" i="4"/>
  <c r="T203" i="4"/>
  <c r="S203" i="4"/>
  <c r="R203" i="4"/>
  <c r="L203" i="4"/>
  <c r="W203" i="4"/>
  <c r="Y203" i="4"/>
  <c r="H203" i="4"/>
  <c r="BL203" i="4"/>
  <c r="F203" i="4"/>
  <c r="CB202" i="4"/>
  <c r="BY202" i="4"/>
  <c r="BX202" i="4"/>
  <c r="BW202" i="4"/>
  <c r="BV202" i="4"/>
  <c r="BU202" i="4"/>
  <c r="BT202" i="4"/>
  <c r="BS202" i="4"/>
  <c r="BR202" i="4"/>
  <c r="BM202" i="4"/>
  <c r="BN202" i="4"/>
  <c r="BH202" i="4"/>
  <c r="BG202" i="4"/>
  <c r="BF202" i="4"/>
  <c r="BE202" i="4"/>
  <c r="AX202" i="4"/>
  <c r="AV202" i="4"/>
  <c r="AS202" i="4"/>
  <c r="AO202" i="4"/>
  <c r="BJ202" i="4"/>
  <c r="AN202" i="4"/>
  <c r="AA202" i="4"/>
  <c r="U202" i="4"/>
  <c r="T202" i="4"/>
  <c r="S202" i="4"/>
  <c r="R202" i="4"/>
  <c r="P202" i="4"/>
  <c r="H202" i="4"/>
  <c r="BL202" i="4"/>
  <c r="F202" i="4"/>
  <c r="CN201" i="4"/>
  <c r="AM201" i="4"/>
  <c r="BH201" i="4"/>
  <c r="AL201" i="4"/>
  <c r="AK201" i="4"/>
  <c r="BG201" i="4"/>
  <c r="AJ201" i="4"/>
  <c r="AI201" i="4"/>
  <c r="BF201" i="4"/>
  <c r="AH201" i="4"/>
  <c r="AG201" i="4"/>
  <c r="BE201" i="4"/>
  <c r="AF201" i="4"/>
  <c r="AE201" i="4"/>
  <c r="AO201" i="4"/>
  <c r="AD201" i="4"/>
  <c r="AN201" i="4"/>
  <c r="AN22" i="4"/>
  <c r="AC201" i="4"/>
  <c r="AB201" i="4"/>
  <c r="Z201" i="4"/>
  <c r="X201" i="4"/>
  <c r="V201" i="4"/>
  <c r="Q201" i="4"/>
  <c r="O201" i="4"/>
  <c r="N201" i="4"/>
  <c r="M201" i="4"/>
  <c r="K201" i="4"/>
  <c r="CB200" i="4"/>
  <c r="BY200" i="4"/>
  <c r="BX200" i="4"/>
  <c r="BW200" i="4"/>
  <c r="BV200" i="4"/>
  <c r="BU200" i="4"/>
  <c r="BT200" i="4"/>
  <c r="BS200" i="4"/>
  <c r="BR200" i="4"/>
  <c r="BM200" i="4"/>
  <c r="BN200" i="4"/>
  <c r="BH200" i="4"/>
  <c r="BG200" i="4"/>
  <c r="BF200" i="4"/>
  <c r="BE200" i="4"/>
  <c r="AV200" i="4"/>
  <c r="AS200" i="4"/>
  <c r="AO200" i="4"/>
  <c r="BJ200" i="4"/>
  <c r="AN200" i="4"/>
  <c r="AA200" i="4"/>
  <c r="U200" i="4"/>
  <c r="T200" i="4"/>
  <c r="S200" i="4"/>
  <c r="R200" i="4"/>
  <c r="L200" i="4"/>
  <c r="AR200" i="4"/>
  <c r="H200" i="4"/>
  <c r="BL200" i="4"/>
  <c r="F200" i="4"/>
  <c r="CB199" i="4"/>
  <c r="BY199" i="4"/>
  <c r="BX199" i="4"/>
  <c r="BW199" i="4"/>
  <c r="BV199" i="4"/>
  <c r="BU199" i="4"/>
  <c r="BT199" i="4"/>
  <c r="BS199" i="4"/>
  <c r="BR199" i="4"/>
  <c r="BM199" i="4"/>
  <c r="BN199" i="4"/>
  <c r="BH199" i="4"/>
  <c r="BG199" i="4"/>
  <c r="BF199" i="4"/>
  <c r="BE199" i="4"/>
  <c r="AV199" i="4"/>
  <c r="AS199" i="4"/>
  <c r="AO199" i="4"/>
  <c r="BJ199" i="4"/>
  <c r="AA199" i="4"/>
  <c r="U199" i="4"/>
  <c r="T199" i="4"/>
  <c r="S199" i="4"/>
  <c r="R199" i="4"/>
  <c r="L199" i="4"/>
  <c r="AT199" i="4"/>
  <c r="J199" i="4"/>
  <c r="AX199" i="4"/>
  <c r="H199" i="4"/>
  <c r="BL199" i="4"/>
  <c r="F199" i="4"/>
  <c r="CB198" i="4"/>
  <c r="BY198" i="4"/>
  <c r="BX198" i="4"/>
  <c r="BW198" i="4"/>
  <c r="BV198" i="4"/>
  <c r="BU198" i="4"/>
  <c r="BT198" i="4"/>
  <c r="BS198" i="4"/>
  <c r="BR198" i="4"/>
  <c r="BM198" i="4"/>
  <c r="BN198" i="4"/>
  <c r="BH198" i="4"/>
  <c r="BG198" i="4"/>
  <c r="BF198" i="4"/>
  <c r="BE198" i="4"/>
  <c r="AV198" i="4"/>
  <c r="AS198" i="4"/>
  <c r="AO198" i="4"/>
  <c r="BJ198" i="4"/>
  <c r="AA198" i="4"/>
  <c r="U198" i="4"/>
  <c r="T198" i="4"/>
  <c r="S198" i="4"/>
  <c r="R198" i="4"/>
  <c r="L198" i="4"/>
  <c r="AT198" i="4"/>
  <c r="J198" i="4"/>
  <c r="H198" i="4"/>
  <c r="BL198" i="4"/>
  <c r="F198" i="4"/>
  <c r="CB197" i="4"/>
  <c r="BY197" i="4"/>
  <c r="BX197" i="4"/>
  <c r="BW197" i="4"/>
  <c r="BV197" i="4"/>
  <c r="BU197" i="4"/>
  <c r="BT197" i="4"/>
  <c r="BS197" i="4"/>
  <c r="BR197" i="4"/>
  <c r="BM197" i="4"/>
  <c r="BN197" i="4"/>
  <c r="BL197" i="4"/>
  <c r="BH197" i="4"/>
  <c r="BG197" i="4"/>
  <c r="BF197" i="4"/>
  <c r="BE197" i="4"/>
  <c r="AV197" i="4"/>
  <c r="AS197" i="4"/>
  <c r="AO197" i="4"/>
  <c r="BJ197" i="4"/>
  <c r="AA197" i="4"/>
  <c r="U197" i="4"/>
  <c r="T197" i="4"/>
  <c r="S197" i="4"/>
  <c r="R197" i="4"/>
  <c r="L197" i="4"/>
  <c r="W197" i="4"/>
  <c r="Y197" i="4"/>
  <c r="H197" i="4"/>
  <c r="F197" i="4"/>
  <c r="CB196" i="4"/>
  <c r="BY196" i="4"/>
  <c r="BX196" i="4"/>
  <c r="BW196" i="4"/>
  <c r="BV196" i="4"/>
  <c r="BU196" i="4"/>
  <c r="BT196" i="4"/>
  <c r="BS196" i="4"/>
  <c r="BR196" i="4"/>
  <c r="BM196" i="4"/>
  <c r="BN196" i="4"/>
  <c r="BJ196" i="4"/>
  <c r="BH196" i="4"/>
  <c r="BG196" i="4"/>
  <c r="BF196" i="4"/>
  <c r="BE196" i="4"/>
  <c r="AV196" i="4"/>
  <c r="AS196" i="4"/>
  <c r="AO196" i="4"/>
  <c r="AN196" i="4"/>
  <c r="AA196" i="4"/>
  <c r="U196" i="4"/>
  <c r="T196" i="4"/>
  <c r="S196" i="4"/>
  <c r="R196" i="4"/>
  <c r="L196" i="4"/>
  <c r="AR196" i="4"/>
  <c r="H196" i="4"/>
  <c r="BL196" i="4"/>
  <c r="F196" i="4"/>
  <c r="CB195" i="4"/>
  <c r="BY195" i="4"/>
  <c r="BX195" i="4"/>
  <c r="BW195" i="4"/>
  <c r="BV195" i="4"/>
  <c r="BU195" i="4"/>
  <c r="BT195" i="4"/>
  <c r="BS195" i="4"/>
  <c r="BR195" i="4"/>
  <c r="BM195" i="4"/>
  <c r="BN195" i="4"/>
  <c r="BH195" i="4"/>
  <c r="BG195" i="4"/>
  <c r="BF195" i="4"/>
  <c r="BE195" i="4"/>
  <c r="AV195" i="4"/>
  <c r="AS195" i="4"/>
  <c r="AO195" i="4"/>
  <c r="BJ195" i="4"/>
  <c r="AA195" i="4"/>
  <c r="U195" i="4"/>
  <c r="T195" i="4"/>
  <c r="S195" i="4"/>
  <c r="R195" i="4"/>
  <c r="L195" i="4"/>
  <c r="AT195" i="4"/>
  <c r="H195" i="4"/>
  <c r="BL195" i="4"/>
  <c r="F195" i="4"/>
  <c r="BX194" i="4"/>
  <c r="BV194" i="4"/>
  <c r="BU194" i="4"/>
  <c r="BT194" i="4"/>
  <c r="BS194" i="4"/>
  <c r="BR194" i="4"/>
  <c r="BM194" i="4"/>
  <c r="BN194" i="4"/>
  <c r="BH194" i="4"/>
  <c r="BF194" i="4"/>
  <c r="BE194" i="4"/>
  <c r="AV194" i="4"/>
  <c r="AN194" i="4"/>
  <c r="AK194" i="4"/>
  <c r="AA194" i="4"/>
  <c r="U194" i="4"/>
  <c r="T194" i="4"/>
  <c r="S194" i="4"/>
  <c r="R194" i="4"/>
  <c r="L194" i="4"/>
  <c r="AT194" i="4"/>
  <c r="F194" i="4"/>
  <c r="CB193" i="4"/>
  <c r="BY193" i="4"/>
  <c r="BX193" i="4"/>
  <c r="BW193" i="4"/>
  <c r="BV193" i="4"/>
  <c r="BU193" i="4"/>
  <c r="BT193" i="4"/>
  <c r="BS193" i="4"/>
  <c r="BR193" i="4"/>
  <c r="BZ193" i="4"/>
  <c r="BM193" i="4"/>
  <c r="BN193" i="4"/>
  <c r="BH193" i="4"/>
  <c r="BG193" i="4"/>
  <c r="BF193" i="4"/>
  <c r="BE193" i="4"/>
  <c r="AV193" i="4"/>
  <c r="AS193" i="4"/>
  <c r="AO193" i="4"/>
  <c r="BJ193" i="4"/>
  <c r="AA193" i="4"/>
  <c r="U193" i="4"/>
  <c r="T193" i="4"/>
  <c r="S193" i="4"/>
  <c r="R193" i="4"/>
  <c r="L193" i="4"/>
  <c r="AR193" i="4"/>
  <c r="H193" i="4"/>
  <c r="BL193" i="4"/>
  <c r="F193" i="4"/>
  <c r="CB192" i="4"/>
  <c r="BY192" i="4"/>
  <c r="BX192" i="4"/>
  <c r="BW192" i="4"/>
  <c r="BV192" i="4"/>
  <c r="BU192" i="4"/>
  <c r="BT192" i="4"/>
  <c r="BS192" i="4"/>
  <c r="BR192" i="4"/>
  <c r="BM192" i="4"/>
  <c r="BN192" i="4"/>
  <c r="BH192" i="4"/>
  <c r="BG192" i="4"/>
  <c r="BF192" i="4"/>
  <c r="BE192" i="4"/>
  <c r="AX192" i="4"/>
  <c r="AV192" i="4"/>
  <c r="AS192" i="4"/>
  <c r="AO192" i="4"/>
  <c r="BJ192" i="4"/>
  <c r="AA192" i="4"/>
  <c r="U192" i="4"/>
  <c r="T192" i="4"/>
  <c r="S192" i="4"/>
  <c r="R192" i="4"/>
  <c r="P192" i="4"/>
  <c r="L192" i="4"/>
  <c r="AT192" i="4"/>
  <c r="H192" i="4"/>
  <c r="BL192" i="4"/>
  <c r="F192" i="4"/>
  <c r="CN191" i="4"/>
  <c r="BH191" i="4"/>
  <c r="AM191" i="4"/>
  <c r="AL191" i="4"/>
  <c r="AJ191" i="4"/>
  <c r="AI191" i="4"/>
  <c r="BF191" i="4"/>
  <c r="AH191" i="4"/>
  <c r="AG191" i="4"/>
  <c r="BE191" i="4"/>
  <c r="AF191" i="4"/>
  <c r="AE191" i="4"/>
  <c r="AD191" i="4"/>
  <c r="AC191" i="4"/>
  <c r="AB191" i="4"/>
  <c r="Z191" i="4"/>
  <c r="X191" i="4"/>
  <c r="V191" i="4"/>
  <c r="Q191" i="4"/>
  <c r="P191" i="4"/>
  <c r="O191" i="4"/>
  <c r="N191" i="4"/>
  <c r="M191" i="4"/>
  <c r="L191" i="4"/>
  <c r="K191" i="4"/>
  <c r="CB190" i="4"/>
  <c r="BY190" i="4"/>
  <c r="BX190" i="4"/>
  <c r="BW190" i="4"/>
  <c r="BV190" i="4"/>
  <c r="BU190" i="4"/>
  <c r="BT190" i="4"/>
  <c r="BS190" i="4"/>
  <c r="BR190" i="4"/>
  <c r="BZ190" i="4"/>
  <c r="BM190" i="4"/>
  <c r="BN190" i="4"/>
  <c r="BH190" i="4"/>
  <c r="BG190" i="4"/>
  <c r="BF190" i="4"/>
  <c r="BE190" i="4"/>
  <c r="AV190" i="4"/>
  <c r="AS190" i="4"/>
  <c r="AO190" i="4"/>
  <c r="BJ190" i="4"/>
  <c r="AN190" i="4"/>
  <c r="AA190" i="4"/>
  <c r="U190" i="4"/>
  <c r="U189" i="4"/>
  <c r="T190" i="4"/>
  <c r="T189" i="4"/>
  <c r="S190" i="4"/>
  <c r="S189" i="4"/>
  <c r="R190" i="4"/>
  <c r="L190" i="4"/>
  <c r="AT190" i="4"/>
  <c r="H190" i="4"/>
  <c r="BL190" i="4"/>
  <c r="F190" i="4"/>
  <c r="CN189" i="4"/>
  <c r="AM189" i="4"/>
  <c r="BH189" i="4"/>
  <c r="AL189" i="4"/>
  <c r="AK189" i="4"/>
  <c r="BG189" i="4"/>
  <c r="AJ189" i="4"/>
  <c r="AI189" i="4"/>
  <c r="AH189" i="4"/>
  <c r="AH188" i="4"/>
  <c r="AG189" i="4"/>
  <c r="BE189" i="4"/>
  <c r="AF189" i="4"/>
  <c r="AE189" i="4"/>
  <c r="AD189" i="4"/>
  <c r="AC189" i="4"/>
  <c r="AB189" i="4"/>
  <c r="Z189" i="4"/>
  <c r="Z188" i="4"/>
  <c r="X189" i="4"/>
  <c r="X188" i="4"/>
  <c r="V189" i="4"/>
  <c r="R189" i="4"/>
  <c r="Q189" i="4"/>
  <c r="P189" i="4"/>
  <c r="O189" i="4"/>
  <c r="O188" i="4"/>
  <c r="N189" i="4"/>
  <c r="M189" i="4"/>
  <c r="M188" i="4"/>
  <c r="M21" i="4"/>
  <c r="K189" i="4"/>
  <c r="J189" i="4"/>
  <c r="AC188" i="4"/>
  <c r="Q188" i="4"/>
  <c r="K188" i="4"/>
  <c r="CB187" i="4"/>
  <c r="BY187" i="4"/>
  <c r="BX187" i="4"/>
  <c r="BW187" i="4"/>
  <c r="BV187" i="4"/>
  <c r="BU187" i="4"/>
  <c r="BT187" i="4"/>
  <c r="BS187" i="4"/>
  <c r="BR187" i="4"/>
  <c r="BM187" i="4"/>
  <c r="BN187" i="4"/>
  <c r="BH187" i="4"/>
  <c r="BG187" i="4"/>
  <c r="BF187" i="4"/>
  <c r="BE187" i="4"/>
  <c r="AV187" i="4"/>
  <c r="AS187" i="4"/>
  <c r="AO187" i="4"/>
  <c r="BJ187" i="4"/>
  <c r="AA187" i="4"/>
  <c r="L187" i="4"/>
  <c r="AR187" i="4"/>
  <c r="H187" i="4"/>
  <c r="BL187" i="4"/>
  <c r="F187" i="4"/>
  <c r="CB186" i="4"/>
  <c r="BY186" i="4"/>
  <c r="BX186" i="4"/>
  <c r="BW186" i="4"/>
  <c r="BV186" i="4"/>
  <c r="BU186" i="4"/>
  <c r="BT186" i="4"/>
  <c r="BS186" i="4"/>
  <c r="BR186" i="4"/>
  <c r="BM186" i="4"/>
  <c r="BN186" i="4"/>
  <c r="BL186" i="4"/>
  <c r="BH186" i="4"/>
  <c r="BG186" i="4"/>
  <c r="BF186" i="4"/>
  <c r="BE186" i="4"/>
  <c r="AV186" i="4"/>
  <c r="AS186" i="4"/>
  <c r="AO186" i="4"/>
  <c r="BJ186" i="4"/>
  <c r="AA186" i="4"/>
  <c r="L186" i="4"/>
  <c r="H186" i="4"/>
  <c r="F186" i="4"/>
  <c r="CB185" i="4"/>
  <c r="BY185" i="4"/>
  <c r="BX185" i="4"/>
  <c r="BW185" i="4"/>
  <c r="BV185" i="4"/>
  <c r="BU185" i="4"/>
  <c r="BT185" i="4"/>
  <c r="BS185" i="4"/>
  <c r="BR185" i="4"/>
  <c r="BM185" i="4"/>
  <c r="BN185" i="4"/>
  <c r="BH185" i="4"/>
  <c r="BG185" i="4"/>
  <c r="BF185" i="4"/>
  <c r="BE185" i="4"/>
  <c r="AV185" i="4"/>
  <c r="AS185" i="4"/>
  <c r="AO185" i="4"/>
  <c r="BJ185" i="4"/>
  <c r="AA185" i="4"/>
  <c r="W185" i="4"/>
  <c r="Y185" i="4"/>
  <c r="T185" i="4"/>
  <c r="L185" i="4"/>
  <c r="AT185" i="4"/>
  <c r="H185" i="4"/>
  <c r="BL185" i="4"/>
  <c r="F185" i="4"/>
  <c r="CB184" i="4"/>
  <c r="BY184" i="4"/>
  <c r="BX184" i="4"/>
  <c r="BW184" i="4"/>
  <c r="BV184" i="4"/>
  <c r="BU184" i="4"/>
  <c r="BT184" i="4"/>
  <c r="BS184" i="4"/>
  <c r="BR184" i="4"/>
  <c r="BM184" i="4"/>
  <c r="BN184" i="4"/>
  <c r="BH184" i="4"/>
  <c r="BG184" i="4"/>
  <c r="BF184" i="4"/>
  <c r="BE184" i="4"/>
  <c r="AV184" i="4"/>
  <c r="AS184" i="4"/>
  <c r="AO184" i="4"/>
  <c r="BJ184" i="4"/>
  <c r="AA184" i="4"/>
  <c r="L184" i="4"/>
  <c r="AT184" i="4"/>
  <c r="H184" i="4"/>
  <c r="BL184" i="4"/>
  <c r="F184" i="4"/>
  <c r="CB183" i="4"/>
  <c r="BY183" i="4"/>
  <c r="BX183" i="4"/>
  <c r="BW183" i="4"/>
  <c r="BV183" i="4"/>
  <c r="BU183" i="4"/>
  <c r="BT183" i="4"/>
  <c r="BS183" i="4"/>
  <c r="BR183" i="4"/>
  <c r="BM183" i="4"/>
  <c r="BN183" i="4"/>
  <c r="BH183" i="4"/>
  <c r="BG183" i="4"/>
  <c r="BF183" i="4"/>
  <c r="BE183" i="4"/>
  <c r="AV183" i="4"/>
  <c r="AS183" i="4"/>
  <c r="AO183" i="4"/>
  <c r="BJ183" i="4"/>
  <c r="AA183" i="4"/>
  <c r="R183" i="4"/>
  <c r="L183" i="4"/>
  <c r="H183" i="4"/>
  <c r="BL183" i="4"/>
  <c r="F183" i="4"/>
  <c r="CB182" i="4"/>
  <c r="BX182" i="4"/>
  <c r="BV182" i="4"/>
  <c r="BU182" i="4"/>
  <c r="BT182" i="4"/>
  <c r="BS182" i="4"/>
  <c r="BR182" i="4"/>
  <c r="BH182" i="4"/>
  <c r="BF182" i="4"/>
  <c r="BE182" i="4"/>
  <c r="AK182" i="4"/>
  <c r="AA182" i="4"/>
  <c r="S182" i="4"/>
  <c r="R182" i="4"/>
  <c r="L182" i="4"/>
  <c r="U182" i="4"/>
  <c r="G182" i="4"/>
  <c r="F182" i="4"/>
  <c r="CB181" i="4"/>
  <c r="BY181" i="4"/>
  <c r="BX181" i="4"/>
  <c r="BW181" i="4"/>
  <c r="BV181" i="4"/>
  <c r="BU181" i="4"/>
  <c r="BT181" i="4"/>
  <c r="BS181" i="4"/>
  <c r="BR181" i="4"/>
  <c r="BM181" i="4"/>
  <c r="BN181" i="4"/>
  <c r="BJ181" i="4"/>
  <c r="BH181" i="4"/>
  <c r="BG181" i="4"/>
  <c r="BF181" i="4"/>
  <c r="BE181" i="4"/>
  <c r="AV181" i="4"/>
  <c r="AS181" i="4"/>
  <c r="AO181" i="4"/>
  <c r="AA181" i="4"/>
  <c r="L181" i="4"/>
  <c r="H181" i="4"/>
  <c r="BL181" i="4"/>
  <c r="F181" i="4"/>
  <c r="CB180" i="4"/>
  <c r="BY180" i="4"/>
  <c r="BX180" i="4"/>
  <c r="BW180" i="4"/>
  <c r="BV180" i="4"/>
  <c r="BU180" i="4"/>
  <c r="BT180" i="4"/>
  <c r="BS180" i="4"/>
  <c r="BR180" i="4"/>
  <c r="BM180" i="4"/>
  <c r="BN180" i="4"/>
  <c r="BH180" i="4"/>
  <c r="BG180" i="4"/>
  <c r="BF180" i="4"/>
  <c r="BE180" i="4"/>
  <c r="AV180" i="4"/>
  <c r="AS180" i="4"/>
  <c r="AO180" i="4"/>
  <c r="BJ180" i="4"/>
  <c r="AA180" i="4"/>
  <c r="L180" i="4"/>
  <c r="H180" i="4"/>
  <c r="BL180" i="4"/>
  <c r="F180" i="4"/>
  <c r="CB179" i="4"/>
  <c r="BY179" i="4"/>
  <c r="BX179" i="4"/>
  <c r="BW179" i="4"/>
  <c r="BV179" i="4"/>
  <c r="BU179" i="4"/>
  <c r="BT179" i="4"/>
  <c r="BS179" i="4"/>
  <c r="BR179" i="4"/>
  <c r="BM179" i="4"/>
  <c r="BN179" i="4"/>
  <c r="BH179" i="4"/>
  <c r="BG179" i="4"/>
  <c r="BF179" i="4"/>
  <c r="BE179" i="4"/>
  <c r="AV179" i="4"/>
  <c r="AS179" i="4"/>
  <c r="AO179" i="4"/>
  <c r="BJ179" i="4"/>
  <c r="AA179" i="4"/>
  <c r="L179" i="4"/>
  <c r="T179" i="4"/>
  <c r="H179" i="4"/>
  <c r="BL179" i="4"/>
  <c r="F179" i="4"/>
  <c r="CB178" i="4"/>
  <c r="BY178" i="4"/>
  <c r="BX178" i="4"/>
  <c r="BW178" i="4"/>
  <c r="BV178" i="4"/>
  <c r="BU178" i="4"/>
  <c r="BT178" i="4"/>
  <c r="BS178" i="4"/>
  <c r="BR178" i="4"/>
  <c r="BM178" i="4"/>
  <c r="BN178" i="4"/>
  <c r="BH178" i="4"/>
  <c r="BG178" i="4"/>
  <c r="BF178" i="4"/>
  <c r="BE178" i="4"/>
  <c r="AV178" i="4"/>
  <c r="AS178" i="4"/>
  <c r="AO178" i="4"/>
  <c r="BJ178" i="4"/>
  <c r="AA178" i="4"/>
  <c r="L178" i="4"/>
  <c r="AT178" i="4"/>
  <c r="H178" i="4"/>
  <c r="BL178" i="4"/>
  <c r="F178" i="4"/>
  <c r="CB177" i="4"/>
  <c r="BY177" i="4"/>
  <c r="BX177" i="4"/>
  <c r="BW177" i="4"/>
  <c r="BV177" i="4"/>
  <c r="BU177" i="4"/>
  <c r="BT177" i="4"/>
  <c r="BS177" i="4"/>
  <c r="BR177" i="4"/>
  <c r="BM177" i="4"/>
  <c r="BN177" i="4"/>
  <c r="BH177" i="4"/>
  <c r="BG177" i="4"/>
  <c r="BF177" i="4"/>
  <c r="BE177" i="4"/>
  <c r="AV177" i="4"/>
  <c r="AS177" i="4"/>
  <c r="AO177" i="4"/>
  <c r="BJ177" i="4"/>
  <c r="AA177" i="4"/>
  <c r="L177" i="4"/>
  <c r="H177" i="4"/>
  <c r="BL177" i="4"/>
  <c r="F177" i="4"/>
  <c r="CB176" i="4"/>
  <c r="BY176" i="4"/>
  <c r="BX176" i="4"/>
  <c r="BW176" i="4"/>
  <c r="BV176" i="4"/>
  <c r="BU176" i="4"/>
  <c r="BT176" i="4"/>
  <c r="BS176" i="4"/>
  <c r="BR176" i="4"/>
  <c r="BN176" i="4"/>
  <c r="BM176" i="4"/>
  <c r="BH176" i="4"/>
  <c r="BG176" i="4"/>
  <c r="BF176" i="4"/>
  <c r="BE176" i="4"/>
  <c r="AV176" i="4"/>
  <c r="AS176" i="4"/>
  <c r="AO176" i="4"/>
  <c r="BJ176" i="4"/>
  <c r="AA176" i="4"/>
  <c r="L176" i="4"/>
  <c r="J176" i="4"/>
  <c r="AX176" i="4"/>
  <c r="H176" i="4"/>
  <c r="BL176" i="4"/>
  <c r="F176" i="4"/>
  <c r="CB175" i="4"/>
  <c r="BY175" i="4"/>
  <c r="BX175" i="4"/>
  <c r="BW175" i="4"/>
  <c r="BV175" i="4"/>
  <c r="BU175" i="4"/>
  <c r="BT175" i="4"/>
  <c r="BS175" i="4"/>
  <c r="BR175" i="4"/>
  <c r="BM175" i="4"/>
  <c r="BN175" i="4"/>
  <c r="BH175" i="4"/>
  <c r="BG175" i="4"/>
  <c r="BF175" i="4"/>
  <c r="BE175" i="4"/>
  <c r="AV175" i="4"/>
  <c r="AS175" i="4"/>
  <c r="AO175" i="4"/>
  <c r="BJ175" i="4"/>
  <c r="AA175" i="4"/>
  <c r="L175" i="4"/>
  <c r="J175" i="4"/>
  <c r="AX175" i="4"/>
  <c r="H175" i="4"/>
  <c r="BL175" i="4"/>
  <c r="F175" i="4"/>
  <c r="CB174" i="4"/>
  <c r="BY174" i="4"/>
  <c r="BX174" i="4"/>
  <c r="BW174" i="4"/>
  <c r="BV174" i="4"/>
  <c r="BU174" i="4"/>
  <c r="BT174" i="4"/>
  <c r="BS174" i="4"/>
  <c r="BR174" i="4"/>
  <c r="BM174" i="4"/>
  <c r="BN174" i="4"/>
  <c r="BH174" i="4"/>
  <c r="BG174" i="4"/>
  <c r="BF174" i="4"/>
  <c r="BE174" i="4"/>
  <c r="AV174" i="4"/>
  <c r="AS174" i="4"/>
  <c r="AO174" i="4"/>
  <c r="BJ174" i="4"/>
  <c r="AA174" i="4"/>
  <c r="L174" i="4"/>
  <c r="J174" i="4"/>
  <c r="AX174" i="4"/>
  <c r="H174" i="4"/>
  <c r="BL174" i="4"/>
  <c r="F174" i="4"/>
  <c r="CB173" i="4"/>
  <c r="BY173" i="4"/>
  <c r="BX173" i="4"/>
  <c r="BW173" i="4"/>
  <c r="BV173" i="4"/>
  <c r="BU173" i="4"/>
  <c r="BT173" i="4"/>
  <c r="BS173" i="4"/>
  <c r="BR173" i="4"/>
  <c r="BM173" i="4"/>
  <c r="BN173" i="4"/>
  <c r="BH173" i="4"/>
  <c r="BG173" i="4"/>
  <c r="BF173" i="4"/>
  <c r="BE173" i="4"/>
  <c r="AV173" i="4"/>
  <c r="AS173" i="4"/>
  <c r="AO173" i="4"/>
  <c r="BJ173" i="4"/>
  <c r="AA173" i="4"/>
  <c r="T173" i="4"/>
  <c r="R173" i="4"/>
  <c r="L173" i="4"/>
  <c r="AR173" i="4"/>
  <c r="H173" i="4"/>
  <c r="BL173" i="4"/>
  <c r="F173" i="4"/>
  <c r="CB172" i="4"/>
  <c r="BY172" i="4"/>
  <c r="BX172" i="4"/>
  <c r="BW172" i="4"/>
  <c r="BV172" i="4"/>
  <c r="BU172" i="4"/>
  <c r="BT172" i="4"/>
  <c r="BS172" i="4"/>
  <c r="BR172" i="4"/>
  <c r="BM172" i="4"/>
  <c r="BN172" i="4"/>
  <c r="BH172" i="4"/>
  <c r="BG172" i="4"/>
  <c r="BF172" i="4"/>
  <c r="BE172" i="4"/>
  <c r="AV172" i="4"/>
  <c r="AS172" i="4"/>
  <c r="AO172" i="4"/>
  <c r="BJ172" i="4"/>
  <c r="AA172" i="4"/>
  <c r="L172" i="4"/>
  <c r="J172" i="4"/>
  <c r="H172" i="4"/>
  <c r="BL172" i="4"/>
  <c r="F172" i="4"/>
  <c r="CB171" i="4"/>
  <c r="BY171" i="4"/>
  <c r="BX171" i="4"/>
  <c r="BW171" i="4"/>
  <c r="BV171" i="4"/>
  <c r="BU171" i="4"/>
  <c r="BT171" i="4"/>
  <c r="BS171" i="4"/>
  <c r="BR171" i="4"/>
  <c r="BM171" i="4"/>
  <c r="BN171" i="4"/>
  <c r="BH171" i="4"/>
  <c r="BG171" i="4"/>
  <c r="BF171" i="4"/>
  <c r="BE171" i="4"/>
  <c r="AX171" i="4"/>
  <c r="AV171" i="4"/>
  <c r="AS171" i="4"/>
  <c r="AO171" i="4"/>
  <c r="BJ171" i="4"/>
  <c r="AN171" i="4"/>
  <c r="AA171" i="4"/>
  <c r="L171" i="4"/>
  <c r="J171" i="4"/>
  <c r="H171" i="4"/>
  <c r="BL171" i="4"/>
  <c r="F171" i="4"/>
  <c r="BX170" i="4"/>
  <c r="BW170" i="4"/>
  <c r="BU170" i="4"/>
  <c r="BT170" i="4"/>
  <c r="BS170" i="4"/>
  <c r="BR170" i="4"/>
  <c r="BH170" i="4"/>
  <c r="BG170" i="4"/>
  <c r="BE170" i="4"/>
  <c r="AN170" i="4"/>
  <c r="AI170" i="4"/>
  <c r="BY170" i="4"/>
  <c r="AA170" i="4"/>
  <c r="L170" i="4"/>
  <c r="J170" i="4"/>
  <c r="AX170" i="4"/>
  <c r="F170" i="4"/>
  <c r="CN169" i="4"/>
  <c r="AM169" i="4"/>
  <c r="BH169" i="4"/>
  <c r="AL169" i="4"/>
  <c r="AJ169" i="4"/>
  <c r="AH169" i="4"/>
  <c r="AG169" i="4"/>
  <c r="BE169" i="4"/>
  <c r="AF169" i="4"/>
  <c r="AE169" i="4"/>
  <c r="AD169" i="4"/>
  <c r="AC169" i="4"/>
  <c r="AB169" i="4"/>
  <c r="Z169" i="4"/>
  <c r="Z162" i="4"/>
  <c r="X169" i="4"/>
  <c r="V169" i="4"/>
  <c r="Q169" i="4"/>
  <c r="P169" i="4"/>
  <c r="O169" i="4"/>
  <c r="N169" i="4"/>
  <c r="M169" i="4"/>
  <c r="K169" i="4"/>
  <c r="CJ168" i="4"/>
  <c r="CB168" i="4"/>
  <c r="BY168" i="4"/>
  <c r="BX168" i="4"/>
  <c r="BW168" i="4"/>
  <c r="BV168" i="4"/>
  <c r="BU168" i="4"/>
  <c r="BT168" i="4"/>
  <c r="BS168" i="4"/>
  <c r="BR168" i="4"/>
  <c r="BM168" i="4"/>
  <c r="BN168" i="4"/>
  <c r="BH168" i="4"/>
  <c r="BG168" i="4"/>
  <c r="BF168" i="4"/>
  <c r="BE168" i="4"/>
  <c r="AV168" i="4"/>
  <c r="AS168" i="4"/>
  <c r="AO168" i="4"/>
  <c r="BJ168" i="4"/>
  <c r="AN168" i="4"/>
  <c r="AA168" i="4"/>
  <c r="L168" i="4"/>
  <c r="AR168" i="4"/>
  <c r="H168" i="4"/>
  <c r="BL168" i="4"/>
  <c r="F168" i="4"/>
  <c r="CJ167" i="4"/>
  <c r="CB167" i="4"/>
  <c r="BY167" i="4"/>
  <c r="BX167" i="4"/>
  <c r="BW167" i="4"/>
  <c r="BV167" i="4"/>
  <c r="BU167" i="4"/>
  <c r="BT167" i="4"/>
  <c r="BS167" i="4"/>
  <c r="BR167" i="4"/>
  <c r="BM167" i="4"/>
  <c r="BN167" i="4"/>
  <c r="BL167" i="4"/>
  <c r="BH167" i="4"/>
  <c r="BG167" i="4"/>
  <c r="BF167" i="4"/>
  <c r="BE167" i="4"/>
  <c r="AV167" i="4"/>
  <c r="AS167" i="4"/>
  <c r="AO167" i="4"/>
  <c r="BJ167" i="4"/>
  <c r="AN167" i="4"/>
  <c r="AA167" i="4"/>
  <c r="L167" i="4"/>
  <c r="H167" i="4"/>
  <c r="F167" i="4"/>
  <c r="CJ166" i="4"/>
  <c r="CB166" i="4"/>
  <c r="BY166" i="4"/>
  <c r="BX166" i="4"/>
  <c r="BW166" i="4"/>
  <c r="BV166" i="4"/>
  <c r="BU166" i="4"/>
  <c r="BT166" i="4"/>
  <c r="BS166" i="4"/>
  <c r="BR166" i="4"/>
  <c r="BM166" i="4"/>
  <c r="BN166" i="4"/>
  <c r="BH166" i="4"/>
  <c r="BG166" i="4"/>
  <c r="BF166" i="4"/>
  <c r="BE166" i="4"/>
  <c r="AV166" i="4"/>
  <c r="AS166" i="4"/>
  <c r="AO166" i="4"/>
  <c r="BJ166" i="4"/>
  <c r="AN166" i="4"/>
  <c r="AA166" i="4"/>
  <c r="L166" i="4"/>
  <c r="AT166" i="4"/>
  <c r="H166" i="4"/>
  <c r="BL166" i="4"/>
  <c r="F166" i="4"/>
  <c r="CJ165" i="4"/>
  <c r="CB165" i="4"/>
  <c r="BY165" i="4"/>
  <c r="BX165" i="4"/>
  <c r="BW165" i="4"/>
  <c r="BV165" i="4"/>
  <c r="BU165" i="4"/>
  <c r="BT165" i="4"/>
  <c r="BS165" i="4"/>
  <c r="BR165" i="4"/>
  <c r="BZ165" i="4"/>
  <c r="BN165" i="4"/>
  <c r="BM165" i="4"/>
  <c r="BH165" i="4"/>
  <c r="BG165" i="4"/>
  <c r="BF165" i="4"/>
  <c r="BE165" i="4"/>
  <c r="AV165" i="4"/>
  <c r="AS165" i="4"/>
  <c r="AO165" i="4"/>
  <c r="BJ165" i="4"/>
  <c r="AN165" i="4"/>
  <c r="AA165" i="4"/>
  <c r="L165" i="4"/>
  <c r="H165" i="4"/>
  <c r="BL165" i="4"/>
  <c r="F165" i="4"/>
  <c r="CJ164" i="4"/>
  <c r="CB164" i="4"/>
  <c r="BY164" i="4"/>
  <c r="BX164" i="4"/>
  <c r="BW164" i="4"/>
  <c r="BV164" i="4"/>
  <c r="BU164" i="4"/>
  <c r="BT164" i="4"/>
  <c r="BS164" i="4"/>
  <c r="BR164" i="4"/>
  <c r="BZ164" i="4"/>
  <c r="BM164" i="4"/>
  <c r="BN164" i="4"/>
  <c r="BH164" i="4"/>
  <c r="BG164" i="4"/>
  <c r="BF164" i="4"/>
  <c r="BE164" i="4"/>
  <c r="AV164" i="4"/>
  <c r="AS164" i="4"/>
  <c r="AO164" i="4"/>
  <c r="BJ164" i="4"/>
  <c r="AN164" i="4"/>
  <c r="AA164" i="4"/>
  <c r="L164" i="4"/>
  <c r="H164" i="4"/>
  <c r="BL164" i="4"/>
  <c r="F164" i="4"/>
  <c r="CN163" i="4"/>
  <c r="BE163" i="4"/>
  <c r="AM163" i="4"/>
  <c r="BH163" i="4"/>
  <c r="AL163" i="4"/>
  <c r="AK163" i="4"/>
  <c r="AJ163" i="4"/>
  <c r="AJ162" i="4"/>
  <c r="AI163" i="4"/>
  <c r="BF163" i="4"/>
  <c r="AH163" i="4"/>
  <c r="AG163" i="4"/>
  <c r="AF163" i="4"/>
  <c r="AF162" i="4"/>
  <c r="AE163" i="4"/>
  <c r="AD163" i="4"/>
  <c r="AC163" i="4"/>
  <c r="AC162" i="4"/>
  <c r="AB163" i="4"/>
  <c r="Z163" i="4"/>
  <c r="X163" i="4"/>
  <c r="V163" i="4"/>
  <c r="U163" i="4"/>
  <c r="T163" i="4"/>
  <c r="S163" i="4"/>
  <c r="R163" i="4"/>
  <c r="Q163" i="4"/>
  <c r="P163" i="4"/>
  <c r="O163" i="4"/>
  <c r="O162" i="4"/>
  <c r="N163" i="4"/>
  <c r="N162" i="4"/>
  <c r="M163" i="4"/>
  <c r="K163" i="4"/>
  <c r="J163" i="4"/>
  <c r="CN162" i="4"/>
  <c r="AL162" i="4"/>
  <c r="AH162" i="4"/>
  <c r="AB162" i="4"/>
  <c r="X162" i="4"/>
  <c r="V162" i="4"/>
  <c r="P162" i="4"/>
  <c r="CB161" i="4"/>
  <c r="BY161" i="4"/>
  <c r="BX161" i="4"/>
  <c r="BW161" i="4"/>
  <c r="BV161" i="4"/>
  <c r="BU161" i="4"/>
  <c r="BT161" i="4"/>
  <c r="BS161" i="4"/>
  <c r="BR161" i="4"/>
  <c r="BM161" i="4"/>
  <c r="BN161" i="4"/>
  <c r="BH161" i="4"/>
  <c r="BG161" i="4"/>
  <c r="BF161" i="4"/>
  <c r="BE161" i="4"/>
  <c r="AV161" i="4"/>
  <c r="AS161" i="4"/>
  <c r="AO161" i="4"/>
  <c r="BJ161" i="4"/>
  <c r="AN161" i="4"/>
  <c r="AA161" i="4"/>
  <c r="AA160" i="4"/>
  <c r="W161" i="4"/>
  <c r="T161" i="4"/>
  <c r="T160" i="4"/>
  <c r="L161" i="4"/>
  <c r="J161" i="4"/>
  <c r="AX161" i="4"/>
  <c r="H161" i="4"/>
  <c r="BL161" i="4"/>
  <c r="F161" i="4"/>
  <c r="CN160" i="4"/>
  <c r="AM160" i="4"/>
  <c r="BH160" i="4"/>
  <c r="AL160" i="4"/>
  <c r="AK160" i="4"/>
  <c r="BG160" i="4"/>
  <c r="AJ160" i="4"/>
  <c r="AI160" i="4"/>
  <c r="BF160" i="4"/>
  <c r="AH160" i="4"/>
  <c r="AG160" i="4"/>
  <c r="BE160" i="4"/>
  <c r="AF160" i="4"/>
  <c r="AE160" i="4"/>
  <c r="AD160" i="4"/>
  <c r="AC160" i="4"/>
  <c r="AB160" i="4"/>
  <c r="Z160" i="4"/>
  <c r="Z141" i="4"/>
  <c r="X160" i="4"/>
  <c r="V160" i="4"/>
  <c r="Q160" i="4"/>
  <c r="P160" i="4"/>
  <c r="O160" i="4"/>
  <c r="N160" i="4"/>
  <c r="M160" i="4"/>
  <c r="L160" i="4"/>
  <c r="AR160" i="4"/>
  <c r="K160" i="4"/>
  <c r="CB159" i="4"/>
  <c r="BY159" i="4"/>
  <c r="BX159" i="4"/>
  <c r="BW159" i="4"/>
  <c r="BV159" i="4"/>
  <c r="BU159" i="4"/>
  <c r="BT159" i="4"/>
  <c r="BS159" i="4"/>
  <c r="BR159" i="4"/>
  <c r="BM159" i="4"/>
  <c r="BN159" i="4"/>
  <c r="BH159" i="4"/>
  <c r="BG159" i="4"/>
  <c r="BF159" i="4"/>
  <c r="BE159" i="4"/>
  <c r="AV159" i="4"/>
  <c r="AS159" i="4"/>
  <c r="AO159" i="4"/>
  <c r="BJ159" i="4"/>
  <c r="AN159" i="4"/>
  <c r="AA159" i="4"/>
  <c r="AA158" i="4"/>
  <c r="W159" i="4"/>
  <c r="T159" i="4"/>
  <c r="T158" i="4"/>
  <c r="L159" i="4"/>
  <c r="AR159" i="4"/>
  <c r="J159" i="4"/>
  <c r="AX159" i="4"/>
  <c r="H159" i="4"/>
  <c r="BL159" i="4"/>
  <c r="F159" i="4"/>
  <c r="CN158" i="4"/>
  <c r="BF158" i="4"/>
  <c r="AM158" i="4"/>
  <c r="BH158" i="4"/>
  <c r="AL158" i="4"/>
  <c r="AK158" i="4"/>
  <c r="BG158" i="4"/>
  <c r="AJ158" i="4"/>
  <c r="AI158" i="4"/>
  <c r="AH158" i="4"/>
  <c r="AG158" i="4"/>
  <c r="BE158" i="4"/>
  <c r="AF158" i="4"/>
  <c r="AE158" i="4"/>
  <c r="AD158" i="4"/>
  <c r="AN158" i="4"/>
  <c r="AC158" i="4"/>
  <c r="CB158" i="4"/>
  <c r="AB158" i="4"/>
  <c r="Z158" i="4"/>
  <c r="X158" i="4"/>
  <c r="V158" i="4"/>
  <c r="Q158" i="4"/>
  <c r="AV158" i="4"/>
  <c r="P158" i="4"/>
  <c r="O158" i="4"/>
  <c r="N158" i="4"/>
  <c r="L158" i="4"/>
  <c r="AR158" i="4"/>
  <c r="M158" i="4"/>
  <c r="K158" i="4"/>
  <c r="CB157" i="4"/>
  <c r="BY157" i="4"/>
  <c r="BX157" i="4"/>
  <c r="BW157" i="4"/>
  <c r="BV157" i="4"/>
  <c r="BU157" i="4"/>
  <c r="BT157" i="4"/>
  <c r="BS157" i="4"/>
  <c r="BR157" i="4"/>
  <c r="BZ157" i="4"/>
  <c r="BM157" i="4"/>
  <c r="BN157" i="4"/>
  <c r="BH157" i="4"/>
  <c r="BG157" i="4"/>
  <c r="BF157" i="4"/>
  <c r="BE157" i="4"/>
  <c r="AV157" i="4"/>
  <c r="AS157" i="4"/>
  <c r="AO157" i="4"/>
  <c r="BJ157" i="4"/>
  <c r="AN157" i="4"/>
  <c r="AA157" i="4"/>
  <c r="AA156" i="4"/>
  <c r="R157" i="4"/>
  <c r="L157" i="4"/>
  <c r="J157" i="4"/>
  <c r="AX157" i="4"/>
  <c r="H157" i="4"/>
  <c r="BL157" i="4"/>
  <c r="G157" i="4"/>
  <c r="F157" i="4"/>
  <c r="CN156" i="4"/>
  <c r="BM156" i="4"/>
  <c r="BN156" i="4"/>
  <c r="BF156" i="4"/>
  <c r="AM156" i="4"/>
  <c r="BH156" i="4"/>
  <c r="AL156" i="4"/>
  <c r="AK156" i="4"/>
  <c r="BG156" i="4"/>
  <c r="AJ156" i="4"/>
  <c r="AI156" i="4"/>
  <c r="AH156" i="4"/>
  <c r="AG156" i="4"/>
  <c r="BE156" i="4"/>
  <c r="AF156" i="4"/>
  <c r="AE156" i="4"/>
  <c r="AD156" i="4"/>
  <c r="AC156" i="4"/>
  <c r="AB156" i="4"/>
  <c r="Z156" i="4"/>
  <c r="X156" i="4"/>
  <c r="V156" i="4"/>
  <c r="Q156" i="4"/>
  <c r="CB156" i="4"/>
  <c r="P156" i="4"/>
  <c r="O156" i="4"/>
  <c r="N156" i="4"/>
  <c r="M156" i="4"/>
  <c r="L156" i="4"/>
  <c r="AR156" i="4"/>
  <c r="K156" i="4"/>
  <c r="CB155" i="4"/>
  <c r="BY155" i="4"/>
  <c r="BX155" i="4"/>
  <c r="BW155" i="4"/>
  <c r="BV155" i="4"/>
  <c r="BU155" i="4"/>
  <c r="BT155" i="4"/>
  <c r="BS155" i="4"/>
  <c r="BR155" i="4"/>
  <c r="BN155" i="4"/>
  <c r="BM155" i="4"/>
  <c r="BJ155" i="4"/>
  <c r="BH155" i="4"/>
  <c r="BG155" i="4"/>
  <c r="BF155" i="4"/>
  <c r="BE155" i="4"/>
  <c r="AV155" i="4"/>
  <c r="AS155" i="4"/>
  <c r="AO155" i="4"/>
  <c r="AN155" i="4"/>
  <c r="AA155" i="4"/>
  <c r="L155" i="4"/>
  <c r="H155" i="4"/>
  <c r="BL155" i="4"/>
  <c r="F155" i="4"/>
  <c r="CB154" i="4"/>
  <c r="BY154" i="4"/>
  <c r="BX154" i="4"/>
  <c r="BW154" i="4"/>
  <c r="BV154" i="4"/>
  <c r="BU154" i="4"/>
  <c r="BT154" i="4"/>
  <c r="BS154" i="4"/>
  <c r="BR154" i="4"/>
  <c r="BM154" i="4"/>
  <c r="BN154" i="4"/>
  <c r="BH154" i="4"/>
  <c r="BG154" i="4"/>
  <c r="BF154" i="4"/>
  <c r="BE154" i="4"/>
  <c r="AV154" i="4"/>
  <c r="AS154" i="4"/>
  <c r="AO154" i="4"/>
  <c r="BJ154" i="4"/>
  <c r="AN154" i="4"/>
  <c r="AA154" i="4"/>
  <c r="L154" i="4"/>
  <c r="W154" i="4"/>
  <c r="Y154" i="4"/>
  <c r="H154" i="4"/>
  <c r="BL154" i="4"/>
  <c r="F154" i="4"/>
  <c r="CB153" i="4"/>
  <c r="BY153" i="4"/>
  <c r="BX153" i="4"/>
  <c r="BW153" i="4"/>
  <c r="BV153" i="4"/>
  <c r="BU153" i="4"/>
  <c r="BT153" i="4"/>
  <c r="BS153" i="4"/>
  <c r="BR153" i="4"/>
  <c r="BM153" i="4"/>
  <c r="BN153" i="4"/>
  <c r="BH153" i="4"/>
  <c r="BG153" i="4"/>
  <c r="BF153" i="4"/>
  <c r="BE153" i="4"/>
  <c r="BI153" i="4"/>
  <c r="AV153" i="4"/>
  <c r="AS153" i="4"/>
  <c r="AO153" i="4"/>
  <c r="BJ153" i="4"/>
  <c r="AF153" i="4"/>
  <c r="AF146" i="4"/>
  <c r="AF141" i="4"/>
  <c r="AA153" i="4"/>
  <c r="L153" i="4"/>
  <c r="H153" i="4"/>
  <c r="BL153" i="4"/>
  <c r="F153" i="4"/>
  <c r="CB152" i="4"/>
  <c r="BY152" i="4"/>
  <c r="BX152" i="4"/>
  <c r="BW152" i="4"/>
  <c r="BV152" i="4"/>
  <c r="BU152" i="4"/>
  <c r="BT152" i="4"/>
  <c r="BS152" i="4"/>
  <c r="BR152" i="4"/>
  <c r="BN152" i="4"/>
  <c r="BM152" i="4"/>
  <c r="BH152" i="4"/>
  <c r="BG152" i="4"/>
  <c r="BF152" i="4"/>
  <c r="BE152" i="4"/>
  <c r="AV152" i="4"/>
  <c r="AS152" i="4"/>
  <c r="AO152" i="4"/>
  <c r="BJ152" i="4"/>
  <c r="AN152" i="4"/>
  <c r="AA152" i="4"/>
  <c r="U152" i="4"/>
  <c r="T152" i="4"/>
  <c r="S152" i="4"/>
  <c r="R152" i="4"/>
  <c r="L152" i="4"/>
  <c r="H152" i="4"/>
  <c r="BL152" i="4"/>
  <c r="F152" i="4"/>
  <c r="CB151" i="4"/>
  <c r="BY151" i="4"/>
  <c r="BX151" i="4"/>
  <c r="BW151" i="4"/>
  <c r="BV151" i="4"/>
  <c r="BU151" i="4"/>
  <c r="BT151" i="4"/>
  <c r="BS151" i="4"/>
  <c r="BR151" i="4"/>
  <c r="BZ151" i="4"/>
  <c r="BM151" i="4"/>
  <c r="BN151" i="4"/>
  <c r="BH151" i="4"/>
  <c r="BG151" i="4"/>
  <c r="BF151" i="4"/>
  <c r="BE151" i="4"/>
  <c r="AV151" i="4"/>
  <c r="AS151" i="4"/>
  <c r="AO151" i="4"/>
  <c r="BJ151" i="4"/>
  <c r="AN151" i="4"/>
  <c r="AA151" i="4"/>
  <c r="U151" i="4"/>
  <c r="T151" i="4"/>
  <c r="R151" i="4"/>
  <c r="L151" i="4"/>
  <c r="AT151" i="4"/>
  <c r="H151" i="4"/>
  <c r="BL151" i="4"/>
  <c r="G151" i="4"/>
  <c r="F151" i="4"/>
  <c r="CB150" i="4"/>
  <c r="BY150" i="4"/>
  <c r="BX150" i="4"/>
  <c r="BW150" i="4"/>
  <c r="BV150" i="4"/>
  <c r="BU150" i="4"/>
  <c r="BT150" i="4"/>
  <c r="BS150" i="4"/>
  <c r="BR150" i="4"/>
  <c r="BM150" i="4"/>
  <c r="BN150" i="4"/>
  <c r="BH150" i="4"/>
  <c r="BG150" i="4"/>
  <c r="BF150" i="4"/>
  <c r="BE150" i="4"/>
  <c r="AV150" i="4"/>
  <c r="AS150" i="4"/>
  <c r="AO150" i="4"/>
  <c r="BJ150" i="4"/>
  <c r="AN150" i="4"/>
  <c r="AA150" i="4"/>
  <c r="L150" i="4"/>
  <c r="H150" i="4"/>
  <c r="BL150" i="4"/>
  <c r="F150" i="4"/>
  <c r="CB149" i="4"/>
  <c r="BY149" i="4"/>
  <c r="BX149" i="4"/>
  <c r="BW149" i="4"/>
  <c r="BV149" i="4"/>
  <c r="BU149" i="4"/>
  <c r="BT149" i="4"/>
  <c r="BS149" i="4"/>
  <c r="BR149" i="4"/>
  <c r="BM149" i="4"/>
  <c r="BN149" i="4"/>
  <c r="BH149" i="4"/>
  <c r="BG149" i="4"/>
  <c r="BF149" i="4"/>
  <c r="BE149" i="4"/>
  <c r="AV149" i="4"/>
  <c r="AS149" i="4"/>
  <c r="AO149" i="4"/>
  <c r="BJ149" i="4"/>
  <c r="AN149" i="4"/>
  <c r="AA149" i="4"/>
  <c r="L149" i="4"/>
  <c r="W149" i="4"/>
  <c r="Y149" i="4"/>
  <c r="H149" i="4"/>
  <c r="BL149" i="4"/>
  <c r="F149" i="4"/>
  <c r="CB148" i="4"/>
  <c r="BY148" i="4"/>
  <c r="BX148" i="4"/>
  <c r="BW148" i="4"/>
  <c r="BV148" i="4"/>
  <c r="BU148" i="4"/>
  <c r="BT148" i="4"/>
  <c r="BS148" i="4"/>
  <c r="BR148" i="4"/>
  <c r="BM148" i="4"/>
  <c r="BN148" i="4"/>
  <c r="BH148" i="4"/>
  <c r="BG148" i="4"/>
  <c r="BF148" i="4"/>
  <c r="BE148" i="4"/>
  <c r="AV148" i="4"/>
  <c r="AS148" i="4"/>
  <c r="AO148" i="4"/>
  <c r="BJ148" i="4"/>
  <c r="AN148" i="4"/>
  <c r="AA148" i="4"/>
  <c r="S148" i="4"/>
  <c r="R148" i="4"/>
  <c r="L148" i="4"/>
  <c r="AT148" i="4"/>
  <c r="H148" i="4"/>
  <c r="BL148" i="4"/>
  <c r="G148" i="4"/>
  <c r="F148" i="4"/>
  <c r="CB147" i="4"/>
  <c r="BY147" i="4"/>
  <c r="BX147" i="4"/>
  <c r="BW147" i="4"/>
  <c r="BV147" i="4"/>
  <c r="BU147" i="4"/>
  <c r="BT147" i="4"/>
  <c r="BS147" i="4"/>
  <c r="BR147" i="4"/>
  <c r="BM147" i="4"/>
  <c r="BN147" i="4"/>
  <c r="BH147" i="4"/>
  <c r="BG147" i="4"/>
  <c r="BF147" i="4"/>
  <c r="BE147" i="4"/>
  <c r="AV147" i="4"/>
  <c r="AS147" i="4"/>
  <c r="AO147" i="4"/>
  <c r="BJ147" i="4"/>
  <c r="AN147" i="4"/>
  <c r="AA147" i="4"/>
  <c r="L147" i="4"/>
  <c r="H147" i="4"/>
  <c r="BL147" i="4"/>
  <c r="F147" i="4"/>
  <c r="CN146" i="4"/>
  <c r="CN141" i="4"/>
  <c r="BH146" i="4"/>
  <c r="AM146" i="4"/>
  <c r="AL146" i="4"/>
  <c r="AK146" i="4"/>
  <c r="BG146" i="4"/>
  <c r="AJ146" i="4"/>
  <c r="AI146" i="4"/>
  <c r="BF146" i="4"/>
  <c r="AH146" i="4"/>
  <c r="AG146" i="4"/>
  <c r="AE146" i="4"/>
  <c r="AD146" i="4"/>
  <c r="AC146" i="4"/>
  <c r="AC141" i="4"/>
  <c r="AB146" i="4"/>
  <c r="Z146" i="4"/>
  <c r="X146" i="4"/>
  <c r="V146" i="4"/>
  <c r="V141" i="4"/>
  <c r="Q146" i="4"/>
  <c r="P146" i="4"/>
  <c r="O146" i="4"/>
  <c r="O141" i="4"/>
  <c r="N146" i="4"/>
  <c r="L146" i="4"/>
  <c r="M146" i="4"/>
  <c r="K146" i="4"/>
  <c r="J146" i="4"/>
  <c r="CJ145" i="4"/>
  <c r="CB145" i="4"/>
  <c r="BM145" i="4"/>
  <c r="BN145" i="4"/>
  <c r="BH145" i="4"/>
  <c r="BG145" i="4"/>
  <c r="BF145" i="4"/>
  <c r="BE145" i="4"/>
  <c r="AV145" i="4"/>
  <c r="AS145" i="4"/>
  <c r="AO145" i="4"/>
  <c r="AN145" i="4"/>
  <c r="AA145" i="4"/>
  <c r="L145" i="4"/>
  <c r="CJ144" i="4"/>
  <c r="CB144" i="4"/>
  <c r="BM144" i="4"/>
  <c r="BN144" i="4"/>
  <c r="BH144" i="4"/>
  <c r="BG144" i="4"/>
  <c r="BF144" i="4"/>
  <c r="BE144" i="4"/>
  <c r="AV144" i="4"/>
  <c r="AS144" i="4"/>
  <c r="AO144" i="4"/>
  <c r="AN144" i="4"/>
  <c r="AA144" i="4"/>
  <c r="L144" i="4"/>
  <c r="AR144" i="4"/>
  <c r="CJ143" i="4"/>
  <c r="CB143" i="4"/>
  <c r="BM143" i="4"/>
  <c r="BN143" i="4"/>
  <c r="BH143" i="4"/>
  <c r="BG143" i="4"/>
  <c r="BF143" i="4"/>
  <c r="BE143" i="4"/>
  <c r="AV143" i="4"/>
  <c r="AS143" i="4"/>
  <c r="AO143" i="4"/>
  <c r="AN143" i="4"/>
  <c r="AA143" i="4"/>
  <c r="L143" i="4"/>
  <c r="AR143" i="4"/>
  <c r="CJ142" i="4"/>
  <c r="CB142" i="4"/>
  <c r="BM142" i="4"/>
  <c r="BN142" i="4"/>
  <c r="BH142" i="4"/>
  <c r="BG142" i="4"/>
  <c r="BF142" i="4"/>
  <c r="BE142" i="4"/>
  <c r="AV142" i="4"/>
  <c r="AS142" i="4"/>
  <c r="AO142" i="4"/>
  <c r="AN142" i="4"/>
  <c r="AA142" i="4"/>
  <c r="L142" i="4"/>
  <c r="AR142" i="4"/>
  <c r="AG141" i="4"/>
  <c r="BE141" i="4"/>
  <c r="Q141" i="4"/>
  <c r="CB140" i="4"/>
  <c r="BY140" i="4"/>
  <c r="BX140" i="4"/>
  <c r="BW140" i="4"/>
  <c r="BV140" i="4"/>
  <c r="BU140" i="4"/>
  <c r="BT140" i="4"/>
  <c r="BS140" i="4"/>
  <c r="BR140" i="4"/>
  <c r="BM140" i="4"/>
  <c r="BN140" i="4"/>
  <c r="BH140" i="4"/>
  <c r="BG140" i="4"/>
  <c r="BF140" i="4"/>
  <c r="BE140" i="4"/>
  <c r="AV140" i="4"/>
  <c r="AS140" i="4"/>
  <c r="AO140" i="4"/>
  <c r="BJ140" i="4"/>
  <c r="AN140" i="4"/>
  <c r="AA140" i="4"/>
  <c r="U140" i="4"/>
  <c r="T140" i="4"/>
  <c r="S140" i="4"/>
  <c r="R140" i="4"/>
  <c r="L140" i="4"/>
  <c r="H140" i="4"/>
  <c r="BL140" i="4"/>
  <c r="F140" i="4"/>
  <c r="CB139" i="4"/>
  <c r="BY139" i="4"/>
  <c r="BX139" i="4"/>
  <c r="BW139" i="4"/>
  <c r="BV139" i="4"/>
  <c r="BU139" i="4"/>
  <c r="BT139" i="4"/>
  <c r="BS139" i="4"/>
  <c r="BR139" i="4"/>
  <c r="BN139" i="4"/>
  <c r="BM139" i="4"/>
  <c r="BH139" i="4"/>
  <c r="BG139" i="4"/>
  <c r="BF139" i="4"/>
  <c r="BE139" i="4"/>
  <c r="AV139" i="4"/>
  <c r="AS139" i="4"/>
  <c r="AO139" i="4"/>
  <c r="BJ139" i="4"/>
  <c r="AN139" i="4"/>
  <c r="AA139" i="4"/>
  <c r="U139" i="4"/>
  <c r="T139" i="4"/>
  <c r="S139" i="4"/>
  <c r="R139" i="4"/>
  <c r="L139" i="4"/>
  <c r="G139" i="4"/>
  <c r="H139" i="4"/>
  <c r="BL139" i="4"/>
  <c r="F139" i="4"/>
  <c r="CB138" i="4"/>
  <c r="BY138" i="4"/>
  <c r="BX138" i="4"/>
  <c r="BW138" i="4"/>
  <c r="BV138" i="4"/>
  <c r="BU138" i="4"/>
  <c r="BT138" i="4"/>
  <c r="BS138" i="4"/>
  <c r="BR138" i="4"/>
  <c r="BZ138" i="4"/>
  <c r="BN138" i="4"/>
  <c r="BM138" i="4"/>
  <c r="BH138" i="4"/>
  <c r="BG138" i="4"/>
  <c r="BF138" i="4"/>
  <c r="BE138" i="4"/>
  <c r="AV138" i="4"/>
  <c r="AS138" i="4"/>
  <c r="AO138" i="4"/>
  <c r="BJ138" i="4"/>
  <c r="AN138" i="4"/>
  <c r="AA138" i="4"/>
  <c r="U138" i="4"/>
  <c r="T138" i="4"/>
  <c r="S138" i="4"/>
  <c r="R138" i="4"/>
  <c r="L138" i="4"/>
  <c r="H138" i="4"/>
  <c r="BL138" i="4"/>
  <c r="F138" i="4"/>
  <c r="CB137" i="4"/>
  <c r="BY137" i="4"/>
  <c r="BX137" i="4"/>
  <c r="BW137" i="4"/>
  <c r="BV137" i="4"/>
  <c r="BU137" i="4"/>
  <c r="BT137" i="4"/>
  <c r="BS137" i="4"/>
  <c r="BR137" i="4"/>
  <c r="BM137" i="4"/>
  <c r="BN137" i="4"/>
  <c r="BH137" i="4"/>
  <c r="BG137" i="4"/>
  <c r="BF137" i="4"/>
  <c r="BE137" i="4"/>
  <c r="AV137" i="4"/>
  <c r="AS137" i="4"/>
  <c r="AO137" i="4"/>
  <c r="BJ137" i="4"/>
  <c r="AN137" i="4"/>
  <c r="AA137" i="4"/>
  <c r="U137" i="4"/>
  <c r="T137" i="4"/>
  <c r="S137" i="4"/>
  <c r="R137" i="4"/>
  <c r="L137" i="4"/>
  <c r="AT137" i="4"/>
  <c r="H137" i="4"/>
  <c r="BL137" i="4"/>
  <c r="F137" i="4"/>
  <c r="CB136" i="4"/>
  <c r="BY136" i="4"/>
  <c r="BX136" i="4"/>
  <c r="BW136" i="4"/>
  <c r="BV136" i="4"/>
  <c r="BU136" i="4"/>
  <c r="BT136" i="4"/>
  <c r="BS136" i="4"/>
  <c r="BR136" i="4"/>
  <c r="BM136" i="4"/>
  <c r="BN136" i="4"/>
  <c r="BH136" i="4"/>
  <c r="BG136" i="4"/>
  <c r="BF136" i="4"/>
  <c r="BE136" i="4"/>
  <c r="AV136" i="4"/>
  <c r="AS136" i="4"/>
  <c r="AO136" i="4"/>
  <c r="BJ136" i="4"/>
  <c r="AN136" i="4"/>
  <c r="AA136" i="4"/>
  <c r="U136" i="4"/>
  <c r="T136" i="4"/>
  <c r="S136" i="4"/>
  <c r="R136" i="4"/>
  <c r="L136" i="4"/>
  <c r="H136" i="4"/>
  <c r="BL136" i="4"/>
  <c r="F136" i="4"/>
  <c r="CB135" i="4"/>
  <c r="BY135" i="4"/>
  <c r="BX135" i="4"/>
  <c r="BW135" i="4"/>
  <c r="BV135" i="4"/>
  <c r="BU135" i="4"/>
  <c r="BT135" i="4"/>
  <c r="BS135" i="4"/>
  <c r="BR135" i="4"/>
  <c r="BM135" i="4"/>
  <c r="BN135" i="4"/>
  <c r="BJ135" i="4"/>
  <c r="BH135" i="4"/>
  <c r="BG135" i="4"/>
  <c r="BF135" i="4"/>
  <c r="BE135" i="4"/>
  <c r="AV135" i="4"/>
  <c r="AS135" i="4"/>
  <c r="AO135" i="4"/>
  <c r="AN135" i="4"/>
  <c r="AA135" i="4"/>
  <c r="U135" i="4"/>
  <c r="T135" i="4"/>
  <c r="S135" i="4"/>
  <c r="R135" i="4"/>
  <c r="L135" i="4"/>
  <c r="W135" i="4"/>
  <c r="Y135" i="4"/>
  <c r="H135" i="4"/>
  <c r="BL135" i="4"/>
  <c r="F135" i="4"/>
  <c r="CB134" i="4"/>
  <c r="BY134" i="4"/>
  <c r="BX134" i="4"/>
  <c r="BW134" i="4"/>
  <c r="BV134" i="4"/>
  <c r="BU134" i="4"/>
  <c r="BT134" i="4"/>
  <c r="BS134" i="4"/>
  <c r="BR134" i="4"/>
  <c r="BN134" i="4"/>
  <c r="BM134" i="4"/>
  <c r="BH134" i="4"/>
  <c r="BG134" i="4"/>
  <c r="BF134" i="4"/>
  <c r="BE134" i="4"/>
  <c r="AV134" i="4"/>
  <c r="AS134" i="4"/>
  <c r="AO134" i="4"/>
  <c r="BJ134" i="4"/>
  <c r="AN134" i="4"/>
  <c r="AA134" i="4"/>
  <c r="U134" i="4"/>
  <c r="T134" i="4"/>
  <c r="S134" i="4"/>
  <c r="R134" i="4"/>
  <c r="L134" i="4"/>
  <c r="H134" i="4"/>
  <c r="BL134" i="4"/>
  <c r="F134" i="4"/>
  <c r="CB133" i="4"/>
  <c r="BY133" i="4"/>
  <c r="BX133" i="4"/>
  <c r="BW133" i="4"/>
  <c r="BV133" i="4"/>
  <c r="BU133" i="4"/>
  <c r="BT133" i="4"/>
  <c r="BS133" i="4"/>
  <c r="BR133" i="4"/>
  <c r="BM133" i="4"/>
  <c r="BN133" i="4"/>
  <c r="BH133" i="4"/>
  <c r="BG133" i="4"/>
  <c r="BF133" i="4"/>
  <c r="BE133" i="4"/>
  <c r="AV133" i="4"/>
  <c r="AS133" i="4"/>
  <c r="AO133" i="4"/>
  <c r="BJ133" i="4"/>
  <c r="AN133" i="4"/>
  <c r="AA133" i="4"/>
  <c r="U133" i="4"/>
  <c r="T133" i="4"/>
  <c r="S133" i="4"/>
  <c r="R133" i="4"/>
  <c r="L133" i="4"/>
  <c r="AT133" i="4"/>
  <c r="H133" i="4"/>
  <c r="BL133" i="4"/>
  <c r="F133" i="4"/>
  <c r="CB132" i="4"/>
  <c r="BY132" i="4"/>
  <c r="BX132" i="4"/>
  <c r="BW132" i="4"/>
  <c r="BV132" i="4"/>
  <c r="BU132" i="4"/>
  <c r="BT132" i="4"/>
  <c r="BS132" i="4"/>
  <c r="BR132" i="4"/>
  <c r="BM132" i="4"/>
  <c r="BN132" i="4"/>
  <c r="BL132" i="4"/>
  <c r="BH132" i="4"/>
  <c r="BG132" i="4"/>
  <c r="BF132" i="4"/>
  <c r="BE132" i="4"/>
  <c r="BI132" i="4"/>
  <c r="AV132" i="4"/>
  <c r="AS132" i="4"/>
  <c r="AO132" i="4"/>
  <c r="BJ132" i="4"/>
  <c r="AN132" i="4"/>
  <c r="AA132" i="4"/>
  <c r="U132" i="4"/>
  <c r="T132" i="4"/>
  <c r="S132" i="4"/>
  <c r="R132" i="4"/>
  <c r="L132" i="4"/>
  <c r="H132" i="4"/>
  <c r="F132" i="4"/>
  <c r="CB131" i="4"/>
  <c r="BY131" i="4"/>
  <c r="BX131" i="4"/>
  <c r="BW131" i="4"/>
  <c r="BV131" i="4"/>
  <c r="BU131" i="4"/>
  <c r="BT131" i="4"/>
  <c r="BS131" i="4"/>
  <c r="BR131" i="4"/>
  <c r="BM131" i="4"/>
  <c r="BN131" i="4"/>
  <c r="BH131" i="4"/>
  <c r="BG131" i="4"/>
  <c r="BF131" i="4"/>
  <c r="BE131" i="4"/>
  <c r="AV131" i="4"/>
  <c r="AS131" i="4"/>
  <c r="AR131" i="4"/>
  <c r="AO131" i="4"/>
  <c r="BJ131" i="4"/>
  <c r="AN131" i="4"/>
  <c r="AA131" i="4"/>
  <c r="W131" i="4"/>
  <c r="Y131" i="4"/>
  <c r="U131" i="4"/>
  <c r="T131" i="4"/>
  <c r="S131" i="4"/>
  <c r="R131" i="4"/>
  <c r="L131" i="4"/>
  <c r="AT131" i="4"/>
  <c r="H131" i="4"/>
  <c r="BL131" i="4"/>
  <c r="G131" i="4"/>
  <c r="F131" i="4"/>
  <c r="CB130" i="4"/>
  <c r="BY130" i="4"/>
  <c r="BX130" i="4"/>
  <c r="BW130" i="4"/>
  <c r="BV130" i="4"/>
  <c r="BU130" i="4"/>
  <c r="BT130" i="4"/>
  <c r="BS130" i="4"/>
  <c r="BR130" i="4"/>
  <c r="BM130" i="4"/>
  <c r="BN130" i="4"/>
  <c r="BL130" i="4"/>
  <c r="BH130" i="4"/>
  <c r="BG130" i="4"/>
  <c r="BF130" i="4"/>
  <c r="BE130" i="4"/>
  <c r="AV130" i="4"/>
  <c r="AS130" i="4"/>
  <c r="AO130" i="4"/>
  <c r="BJ130" i="4"/>
  <c r="AN130" i="4"/>
  <c r="AA130" i="4"/>
  <c r="U130" i="4"/>
  <c r="T130" i="4"/>
  <c r="S130" i="4"/>
  <c r="R130" i="4"/>
  <c r="L130" i="4"/>
  <c r="AT130" i="4"/>
  <c r="H130" i="4"/>
  <c r="F130" i="4"/>
  <c r="CB129" i="4"/>
  <c r="BY129" i="4"/>
  <c r="BX129" i="4"/>
  <c r="BW129" i="4"/>
  <c r="BV129" i="4"/>
  <c r="BU129" i="4"/>
  <c r="BT129" i="4"/>
  <c r="BS129" i="4"/>
  <c r="BR129" i="4"/>
  <c r="BM129" i="4"/>
  <c r="BN129" i="4"/>
  <c r="BH129" i="4"/>
  <c r="BG129" i="4"/>
  <c r="BF129" i="4"/>
  <c r="BE129" i="4"/>
  <c r="AV129" i="4"/>
  <c r="AS129" i="4"/>
  <c r="AO129" i="4"/>
  <c r="BJ129" i="4"/>
  <c r="AN129" i="4"/>
  <c r="AA129" i="4"/>
  <c r="U129" i="4"/>
  <c r="T129" i="4"/>
  <c r="S129" i="4"/>
  <c r="R129" i="4"/>
  <c r="L129" i="4"/>
  <c r="J129" i="4"/>
  <c r="AX129" i="4"/>
  <c r="H129" i="4"/>
  <c r="BL129" i="4"/>
  <c r="F129" i="4"/>
  <c r="CB128" i="4"/>
  <c r="BY128" i="4"/>
  <c r="BX128" i="4"/>
  <c r="BW128" i="4"/>
  <c r="BV128" i="4"/>
  <c r="BU128" i="4"/>
  <c r="BT128" i="4"/>
  <c r="BS128" i="4"/>
  <c r="BR128" i="4"/>
  <c r="BM128" i="4"/>
  <c r="BN128" i="4"/>
  <c r="BH128" i="4"/>
  <c r="BG128" i="4"/>
  <c r="BF128" i="4"/>
  <c r="BE128" i="4"/>
  <c r="AV128" i="4"/>
  <c r="AS128" i="4"/>
  <c r="AO128" i="4"/>
  <c r="BJ128" i="4"/>
  <c r="AN128" i="4"/>
  <c r="AA128" i="4"/>
  <c r="U128" i="4"/>
  <c r="T128" i="4"/>
  <c r="S128" i="4"/>
  <c r="R128" i="4"/>
  <c r="L128" i="4"/>
  <c r="AR128" i="4"/>
  <c r="J128" i="4"/>
  <c r="AX128" i="4"/>
  <c r="H128" i="4"/>
  <c r="BL128" i="4"/>
  <c r="F128" i="4"/>
  <c r="BS127" i="4"/>
  <c r="BR127" i="4"/>
  <c r="BH127" i="4"/>
  <c r="BG127" i="4"/>
  <c r="BE127" i="4"/>
  <c r="AO127" i="4"/>
  <c r="BJ127" i="4"/>
  <c r="AN127" i="4"/>
  <c r="AI127" i="4"/>
  <c r="AA127" i="4"/>
  <c r="U127" i="4"/>
  <c r="T127" i="4"/>
  <c r="S127" i="4"/>
  <c r="R127" i="4"/>
  <c r="L127" i="4"/>
  <c r="AT127" i="4"/>
  <c r="J127" i="4"/>
  <c r="AX127" i="4"/>
  <c r="H127" i="4"/>
  <c r="BL127" i="4"/>
  <c r="F127" i="4"/>
  <c r="CB126" i="4"/>
  <c r="BY126" i="4"/>
  <c r="BX126" i="4"/>
  <c r="BW126" i="4"/>
  <c r="BV126" i="4"/>
  <c r="BU126" i="4"/>
  <c r="BT126" i="4"/>
  <c r="BS126" i="4"/>
  <c r="BR126" i="4"/>
  <c r="BM126" i="4"/>
  <c r="BN126" i="4"/>
  <c r="BL126" i="4"/>
  <c r="BH126" i="4"/>
  <c r="BG126" i="4"/>
  <c r="BF126" i="4"/>
  <c r="BE126" i="4"/>
  <c r="AV126" i="4"/>
  <c r="AS126" i="4"/>
  <c r="AO126" i="4"/>
  <c r="BJ126" i="4"/>
  <c r="AN126" i="4"/>
  <c r="AA126" i="4"/>
  <c r="U126" i="4"/>
  <c r="T126" i="4"/>
  <c r="S126" i="4"/>
  <c r="R126" i="4"/>
  <c r="P126" i="4"/>
  <c r="L126" i="4"/>
  <c r="AT126" i="4"/>
  <c r="H126" i="4"/>
  <c r="F126" i="4"/>
  <c r="CB125" i="4"/>
  <c r="BY125" i="4"/>
  <c r="BX125" i="4"/>
  <c r="BW125" i="4"/>
  <c r="BV125" i="4"/>
  <c r="BU125" i="4"/>
  <c r="BT125" i="4"/>
  <c r="BS125" i="4"/>
  <c r="BR125" i="4"/>
  <c r="BM125" i="4"/>
  <c r="BN125" i="4"/>
  <c r="BH125" i="4"/>
  <c r="BG125" i="4"/>
  <c r="BF125" i="4"/>
  <c r="BE125" i="4"/>
  <c r="BI125" i="4"/>
  <c r="AX125" i="4"/>
  <c r="AV125" i="4"/>
  <c r="AS125" i="4"/>
  <c r="AO125" i="4"/>
  <c r="BJ125" i="4"/>
  <c r="AA125" i="4"/>
  <c r="U125" i="4"/>
  <c r="T125" i="4"/>
  <c r="S125" i="4"/>
  <c r="CJ125" i="4"/>
  <c r="R125" i="4"/>
  <c r="P125" i="4"/>
  <c r="L125" i="4"/>
  <c r="H125" i="4"/>
  <c r="BL125" i="4"/>
  <c r="F125" i="4"/>
  <c r="CB124" i="4"/>
  <c r="BY124" i="4"/>
  <c r="BX124" i="4"/>
  <c r="BW124" i="4"/>
  <c r="BV124" i="4"/>
  <c r="BU124" i="4"/>
  <c r="BT124" i="4"/>
  <c r="BS124" i="4"/>
  <c r="BR124" i="4"/>
  <c r="BM124" i="4"/>
  <c r="BN124" i="4"/>
  <c r="BL124" i="4"/>
  <c r="BH124" i="4"/>
  <c r="BG124" i="4"/>
  <c r="BF124" i="4"/>
  <c r="BE124" i="4"/>
  <c r="AV124" i="4"/>
  <c r="AS124" i="4"/>
  <c r="AO124" i="4"/>
  <c r="BJ124" i="4"/>
  <c r="AN124" i="4"/>
  <c r="AA124" i="4"/>
  <c r="U124" i="4"/>
  <c r="T124" i="4"/>
  <c r="S124" i="4"/>
  <c r="R124" i="4"/>
  <c r="L124" i="4"/>
  <c r="H124" i="4"/>
  <c r="F124" i="4"/>
  <c r="CB123" i="4"/>
  <c r="BY123" i="4"/>
  <c r="BX123" i="4"/>
  <c r="BW123" i="4"/>
  <c r="BV123" i="4"/>
  <c r="BU123" i="4"/>
  <c r="BT123" i="4"/>
  <c r="BS123" i="4"/>
  <c r="BR123" i="4"/>
  <c r="BM123" i="4"/>
  <c r="BN123" i="4"/>
  <c r="BH123" i="4"/>
  <c r="BG123" i="4"/>
  <c r="BF123" i="4"/>
  <c r="BE123" i="4"/>
  <c r="AV123" i="4"/>
  <c r="AS123" i="4"/>
  <c r="AO123" i="4"/>
  <c r="BJ123" i="4"/>
  <c r="AN123" i="4"/>
  <c r="AA123" i="4"/>
  <c r="U123" i="4"/>
  <c r="T123" i="4"/>
  <c r="S123" i="4"/>
  <c r="R123" i="4"/>
  <c r="P123" i="4"/>
  <c r="L123" i="4"/>
  <c r="AR123" i="4"/>
  <c r="J123" i="4"/>
  <c r="AX123" i="4"/>
  <c r="H123" i="4"/>
  <c r="BL123" i="4"/>
  <c r="F123" i="4"/>
  <c r="CB122" i="4"/>
  <c r="BY122" i="4"/>
  <c r="BX122" i="4"/>
  <c r="BW122" i="4"/>
  <c r="BV122" i="4"/>
  <c r="BU122" i="4"/>
  <c r="BT122" i="4"/>
  <c r="BS122" i="4"/>
  <c r="BR122" i="4"/>
  <c r="BM122" i="4"/>
  <c r="BN122" i="4"/>
  <c r="BH122" i="4"/>
  <c r="BG122" i="4"/>
  <c r="BF122" i="4"/>
  <c r="BE122" i="4"/>
  <c r="AV122" i="4"/>
  <c r="AS122" i="4"/>
  <c r="AO122" i="4"/>
  <c r="BJ122" i="4"/>
  <c r="AA122" i="4"/>
  <c r="U122" i="4"/>
  <c r="T122" i="4"/>
  <c r="S122" i="4"/>
  <c r="R122" i="4"/>
  <c r="P122" i="4"/>
  <c r="L122" i="4"/>
  <c r="H122" i="4"/>
  <c r="BL122" i="4"/>
  <c r="F122" i="4"/>
  <c r="CB121" i="4"/>
  <c r="BY121" i="4"/>
  <c r="BX121" i="4"/>
  <c r="BW121" i="4"/>
  <c r="BV121" i="4"/>
  <c r="BU121" i="4"/>
  <c r="BT121" i="4"/>
  <c r="BS121" i="4"/>
  <c r="BR121" i="4"/>
  <c r="BN121" i="4"/>
  <c r="BM121" i="4"/>
  <c r="BJ121" i="4"/>
  <c r="BH121" i="4"/>
  <c r="BG121" i="4"/>
  <c r="BF121" i="4"/>
  <c r="BE121" i="4"/>
  <c r="AV121" i="4"/>
  <c r="AS121" i="4"/>
  <c r="AO121" i="4"/>
  <c r="AA121" i="4"/>
  <c r="U121" i="4"/>
  <c r="T121" i="4"/>
  <c r="S121" i="4"/>
  <c r="R121" i="4"/>
  <c r="P121" i="4"/>
  <c r="L121" i="4"/>
  <c r="H121" i="4"/>
  <c r="BL121" i="4"/>
  <c r="F121" i="4"/>
  <c r="CB120" i="4"/>
  <c r="BY120" i="4"/>
  <c r="BX120" i="4"/>
  <c r="BW120" i="4"/>
  <c r="BV120" i="4"/>
  <c r="BU120" i="4"/>
  <c r="BT120" i="4"/>
  <c r="BS120" i="4"/>
  <c r="BR120" i="4"/>
  <c r="BM120" i="4"/>
  <c r="BN120" i="4"/>
  <c r="BH120" i="4"/>
  <c r="BG120" i="4"/>
  <c r="BF120" i="4"/>
  <c r="BE120" i="4"/>
  <c r="AV120" i="4"/>
  <c r="AS120" i="4"/>
  <c r="AO120" i="4"/>
  <c r="BJ120" i="4"/>
  <c r="AN120" i="4"/>
  <c r="AA120" i="4"/>
  <c r="U120" i="4"/>
  <c r="T120" i="4"/>
  <c r="S120" i="4"/>
  <c r="R120" i="4"/>
  <c r="L120" i="4"/>
  <c r="H120" i="4"/>
  <c r="BL120" i="4"/>
  <c r="F120" i="4"/>
  <c r="CB119" i="4"/>
  <c r="BY119" i="4"/>
  <c r="BX119" i="4"/>
  <c r="BW119" i="4"/>
  <c r="BV119" i="4"/>
  <c r="BU119" i="4"/>
  <c r="BT119" i="4"/>
  <c r="BS119" i="4"/>
  <c r="BR119" i="4"/>
  <c r="BM119" i="4"/>
  <c r="BN119" i="4"/>
  <c r="BH119" i="4"/>
  <c r="BG119" i="4"/>
  <c r="BF119" i="4"/>
  <c r="BE119" i="4"/>
  <c r="AV119" i="4"/>
  <c r="AS119" i="4"/>
  <c r="AO119" i="4"/>
  <c r="BJ119" i="4"/>
  <c r="AA119" i="4"/>
  <c r="U119" i="4"/>
  <c r="T119" i="4"/>
  <c r="S119" i="4"/>
  <c r="R119" i="4"/>
  <c r="L119" i="4"/>
  <c r="H119" i="4"/>
  <c r="BL119" i="4"/>
  <c r="F119" i="4"/>
  <c r="CB118" i="4"/>
  <c r="BY118" i="4"/>
  <c r="BX118" i="4"/>
  <c r="BW118" i="4"/>
  <c r="BV118" i="4"/>
  <c r="BU118" i="4"/>
  <c r="BT118" i="4"/>
  <c r="BS118" i="4"/>
  <c r="BR118" i="4"/>
  <c r="BM118" i="4"/>
  <c r="BN118" i="4"/>
  <c r="BJ118" i="4"/>
  <c r="BH118" i="4"/>
  <c r="BG118" i="4"/>
  <c r="BF118" i="4"/>
  <c r="BE118" i="4"/>
  <c r="AV118" i="4"/>
  <c r="AS118" i="4"/>
  <c r="AO118" i="4"/>
  <c r="AA118" i="4"/>
  <c r="U118" i="4"/>
  <c r="T118" i="4"/>
  <c r="S118" i="4"/>
  <c r="R118" i="4"/>
  <c r="P118" i="4"/>
  <c r="L118" i="4"/>
  <c r="H118" i="4"/>
  <c r="BL118" i="4"/>
  <c r="F118" i="4"/>
  <c r="CB117" i="4"/>
  <c r="BY117" i="4"/>
  <c r="BX117" i="4"/>
  <c r="BW117" i="4"/>
  <c r="BV117" i="4"/>
  <c r="BU117" i="4"/>
  <c r="BT117" i="4"/>
  <c r="BS117" i="4"/>
  <c r="BR117" i="4"/>
  <c r="BM117" i="4"/>
  <c r="BN117" i="4"/>
  <c r="BH117" i="4"/>
  <c r="BG117" i="4"/>
  <c r="BF117" i="4"/>
  <c r="BE117" i="4"/>
  <c r="AX117" i="4"/>
  <c r="AV117" i="4"/>
  <c r="AS117" i="4"/>
  <c r="AO117" i="4"/>
  <c r="BJ117" i="4"/>
  <c r="AN117" i="4"/>
  <c r="AA117" i="4"/>
  <c r="U117" i="4"/>
  <c r="T117" i="4"/>
  <c r="S117" i="4"/>
  <c r="R117" i="4"/>
  <c r="P117" i="4"/>
  <c r="L117" i="4"/>
  <c r="H117" i="4"/>
  <c r="BL117" i="4"/>
  <c r="F117" i="4"/>
  <c r="CN116" i="4"/>
  <c r="AM116" i="4"/>
  <c r="BH116" i="4"/>
  <c r="AL116" i="4"/>
  <c r="AK116" i="4"/>
  <c r="BG116" i="4"/>
  <c r="AJ116" i="4"/>
  <c r="AI116" i="4"/>
  <c r="BF116" i="4"/>
  <c r="AH116" i="4"/>
  <c r="AG116" i="4"/>
  <c r="BE116" i="4"/>
  <c r="AF116" i="4"/>
  <c r="AE116" i="4"/>
  <c r="AD116" i="4"/>
  <c r="AC116" i="4"/>
  <c r="AB116" i="4"/>
  <c r="Z116" i="4"/>
  <c r="Z105" i="4"/>
  <c r="X116" i="4"/>
  <c r="V116" i="4"/>
  <c r="Q116" i="4"/>
  <c r="O116" i="4"/>
  <c r="N116" i="4"/>
  <c r="M116" i="4"/>
  <c r="K116" i="4"/>
  <c r="J116" i="4"/>
  <c r="CB115" i="4"/>
  <c r="BY115" i="4"/>
  <c r="BX115" i="4"/>
  <c r="BW115" i="4"/>
  <c r="BV115" i="4"/>
  <c r="BU115" i="4"/>
  <c r="BT115" i="4"/>
  <c r="BS115" i="4"/>
  <c r="BR115" i="4"/>
  <c r="BM115" i="4"/>
  <c r="BN115" i="4"/>
  <c r="BL115" i="4"/>
  <c r="BH115" i="4"/>
  <c r="BG115" i="4"/>
  <c r="BF115" i="4"/>
  <c r="BE115" i="4"/>
  <c r="AV115" i="4"/>
  <c r="AS115" i="4"/>
  <c r="AO115" i="4"/>
  <c r="BJ115" i="4"/>
  <c r="AN115" i="4"/>
  <c r="AA115" i="4"/>
  <c r="L115" i="4"/>
  <c r="AT115" i="4"/>
  <c r="H115" i="4"/>
  <c r="F115" i="4"/>
  <c r="CB114" i="4"/>
  <c r="BY114" i="4"/>
  <c r="BX114" i="4"/>
  <c r="BW114" i="4"/>
  <c r="BV114" i="4"/>
  <c r="BU114" i="4"/>
  <c r="BT114" i="4"/>
  <c r="BS114" i="4"/>
  <c r="BR114" i="4"/>
  <c r="BM114" i="4"/>
  <c r="BN114" i="4"/>
  <c r="BH114" i="4"/>
  <c r="BG114" i="4"/>
  <c r="BF114" i="4"/>
  <c r="BE114" i="4"/>
  <c r="AV114" i="4"/>
  <c r="AS114" i="4"/>
  <c r="AR114" i="4"/>
  <c r="AO114" i="4"/>
  <c r="BJ114" i="4"/>
  <c r="AN114" i="4"/>
  <c r="AA114" i="4"/>
  <c r="L114" i="4"/>
  <c r="W114" i="4"/>
  <c r="Y114" i="4"/>
  <c r="H114" i="4"/>
  <c r="BL114" i="4"/>
  <c r="F114" i="4"/>
  <c r="CB113" i="4"/>
  <c r="BY113" i="4"/>
  <c r="BX113" i="4"/>
  <c r="BW113" i="4"/>
  <c r="BV113" i="4"/>
  <c r="BU113" i="4"/>
  <c r="BT113" i="4"/>
  <c r="BS113" i="4"/>
  <c r="BR113" i="4"/>
  <c r="BM113" i="4"/>
  <c r="BN113" i="4"/>
  <c r="BH113" i="4"/>
  <c r="BG113" i="4"/>
  <c r="BF113" i="4"/>
  <c r="BE113" i="4"/>
  <c r="AV113" i="4"/>
  <c r="AS113" i="4"/>
  <c r="AO113" i="4"/>
  <c r="BJ113" i="4"/>
  <c r="AN113" i="4"/>
  <c r="AA113" i="4"/>
  <c r="L113" i="4"/>
  <c r="AR113" i="4"/>
  <c r="H113" i="4"/>
  <c r="BL113" i="4"/>
  <c r="F113" i="4"/>
  <c r="BX112" i="4"/>
  <c r="BW112" i="4"/>
  <c r="BV112" i="4"/>
  <c r="BU112" i="4"/>
  <c r="BT112" i="4"/>
  <c r="BS112" i="4"/>
  <c r="BR112" i="4"/>
  <c r="BH112" i="4"/>
  <c r="BG112" i="4"/>
  <c r="BE112" i="4"/>
  <c r="AV112" i="4"/>
  <c r="AN112" i="4"/>
  <c r="AI112" i="4"/>
  <c r="BF112" i="4"/>
  <c r="AA112" i="4"/>
  <c r="L112" i="4"/>
  <c r="W112" i="4"/>
  <c r="Y112" i="4"/>
  <c r="F112" i="4"/>
  <c r="BV111" i="4"/>
  <c r="BU111" i="4"/>
  <c r="BS111" i="4"/>
  <c r="BR111" i="4"/>
  <c r="BF111" i="4"/>
  <c r="BE111" i="4"/>
  <c r="AM111" i="4"/>
  <c r="AL111" i="4"/>
  <c r="AK111" i="4"/>
  <c r="BW111" i="4"/>
  <c r="AI111" i="4"/>
  <c r="AE111" i="4"/>
  <c r="AA111" i="4"/>
  <c r="P111" i="4"/>
  <c r="P106" i="4"/>
  <c r="L111" i="4"/>
  <c r="U111" i="4"/>
  <c r="BY110" i="4"/>
  <c r="BX110" i="4"/>
  <c r="BW110" i="4"/>
  <c r="BU110" i="4"/>
  <c r="BT110" i="4"/>
  <c r="BS110" i="4"/>
  <c r="BR110" i="4"/>
  <c r="BH110" i="4"/>
  <c r="BG110" i="4"/>
  <c r="BE110" i="4"/>
  <c r="AT110" i="4"/>
  <c r="AO110" i="4"/>
  <c r="BJ110" i="4"/>
  <c r="AN110" i="4"/>
  <c r="AI110" i="4"/>
  <c r="BV110" i="4"/>
  <c r="AA110" i="4"/>
  <c r="W110" i="4"/>
  <c r="Y110" i="4"/>
  <c r="L110" i="4"/>
  <c r="T110" i="4"/>
  <c r="H110" i="4"/>
  <c r="BL110" i="4"/>
  <c r="F110" i="4"/>
  <c r="BX109" i="4"/>
  <c r="BW109" i="4"/>
  <c r="BV109" i="4"/>
  <c r="BU109" i="4"/>
  <c r="BT109" i="4"/>
  <c r="BS109" i="4"/>
  <c r="BR109" i="4"/>
  <c r="BH109" i="4"/>
  <c r="BG109" i="4"/>
  <c r="BE109" i="4"/>
  <c r="AN109" i="4"/>
  <c r="AI109" i="4"/>
  <c r="CB109" i="4"/>
  <c r="AA109" i="4"/>
  <c r="L109" i="4"/>
  <c r="W109" i="4"/>
  <c r="Y109" i="4"/>
  <c r="F109" i="4"/>
  <c r="CB108" i="4"/>
  <c r="BY108" i="4"/>
  <c r="BX108" i="4"/>
  <c r="BW108" i="4"/>
  <c r="BV108" i="4"/>
  <c r="BU108" i="4"/>
  <c r="BT108" i="4"/>
  <c r="BS108" i="4"/>
  <c r="BR108" i="4"/>
  <c r="BM108" i="4"/>
  <c r="BN108" i="4"/>
  <c r="BH108" i="4"/>
  <c r="BG108" i="4"/>
  <c r="BF108" i="4"/>
  <c r="BE108" i="4"/>
  <c r="AV108" i="4"/>
  <c r="AS108" i="4"/>
  <c r="AO108" i="4"/>
  <c r="BJ108" i="4"/>
  <c r="AN108" i="4"/>
  <c r="AA108" i="4"/>
  <c r="L108" i="4"/>
  <c r="AR108" i="4"/>
  <c r="H108" i="4"/>
  <c r="BL108" i="4"/>
  <c r="F108" i="4"/>
  <c r="CB107" i="4"/>
  <c r="BY107" i="4"/>
  <c r="BX107" i="4"/>
  <c r="BW107" i="4"/>
  <c r="BV107" i="4"/>
  <c r="BU107" i="4"/>
  <c r="BT107" i="4"/>
  <c r="BS107" i="4"/>
  <c r="BR107" i="4"/>
  <c r="BN107" i="4"/>
  <c r="BM107" i="4"/>
  <c r="BJ107" i="4"/>
  <c r="BH107" i="4"/>
  <c r="BG107" i="4"/>
  <c r="BF107" i="4"/>
  <c r="BE107" i="4"/>
  <c r="AV107" i="4"/>
  <c r="AS107" i="4"/>
  <c r="AO107" i="4"/>
  <c r="AN107" i="4"/>
  <c r="AA107" i="4"/>
  <c r="W107" i="4"/>
  <c r="Y107" i="4"/>
  <c r="L107" i="4"/>
  <c r="H107" i="4"/>
  <c r="BL107" i="4"/>
  <c r="F107" i="4"/>
  <c r="CN106" i="4"/>
  <c r="AK106" i="4"/>
  <c r="BG106" i="4"/>
  <c r="AJ106" i="4"/>
  <c r="AJ105" i="4"/>
  <c r="AH106" i="4"/>
  <c r="AG106" i="4"/>
  <c r="BE106" i="4"/>
  <c r="AF106" i="4"/>
  <c r="AD106" i="4"/>
  <c r="AC106" i="4"/>
  <c r="AC105" i="4"/>
  <c r="AB106" i="4"/>
  <c r="Z106" i="4"/>
  <c r="X106" i="4"/>
  <c r="X105" i="4"/>
  <c r="V106" i="4"/>
  <c r="V105" i="4"/>
  <c r="Q106" i="4"/>
  <c r="O106" i="4"/>
  <c r="N106" i="4"/>
  <c r="M106" i="4"/>
  <c r="M105" i="4"/>
  <c r="K106" i="4"/>
  <c r="J106" i="4"/>
  <c r="J105" i="4"/>
  <c r="CN105" i="4"/>
  <c r="AG105" i="4"/>
  <c r="BE105" i="4"/>
  <c r="N105" i="4"/>
  <c r="CB104" i="4"/>
  <c r="BY104" i="4"/>
  <c r="BX104" i="4"/>
  <c r="BW104" i="4"/>
  <c r="BV104" i="4"/>
  <c r="BU104" i="4"/>
  <c r="BT104" i="4"/>
  <c r="BS104" i="4"/>
  <c r="BR104" i="4"/>
  <c r="BM104" i="4"/>
  <c r="BN104" i="4"/>
  <c r="BH104" i="4"/>
  <c r="BG104" i="4"/>
  <c r="BF104" i="4"/>
  <c r="BE104" i="4"/>
  <c r="AV104" i="4"/>
  <c r="AS104" i="4"/>
  <c r="AO104" i="4"/>
  <c r="BJ104" i="4"/>
  <c r="AN104" i="4"/>
  <c r="AA104" i="4"/>
  <c r="U104" i="4"/>
  <c r="T104" i="4"/>
  <c r="S104" i="4"/>
  <c r="R104" i="4"/>
  <c r="L104" i="4"/>
  <c r="H104" i="4"/>
  <c r="BL104" i="4"/>
  <c r="F104" i="4"/>
  <c r="CB103" i="4"/>
  <c r="BY103" i="4"/>
  <c r="BX103" i="4"/>
  <c r="BW103" i="4"/>
  <c r="BV103" i="4"/>
  <c r="BU103" i="4"/>
  <c r="BT103" i="4"/>
  <c r="BS103" i="4"/>
  <c r="BR103" i="4"/>
  <c r="BZ103" i="4"/>
  <c r="BM103" i="4"/>
  <c r="BN103" i="4"/>
  <c r="BH103" i="4"/>
  <c r="BG103" i="4"/>
  <c r="BF103" i="4"/>
  <c r="BE103" i="4"/>
  <c r="AV103" i="4"/>
  <c r="AS103" i="4"/>
  <c r="AO103" i="4"/>
  <c r="BJ103" i="4"/>
  <c r="AN103" i="4"/>
  <c r="AA103" i="4"/>
  <c r="U103" i="4"/>
  <c r="T103" i="4"/>
  <c r="S103" i="4"/>
  <c r="R103" i="4"/>
  <c r="L103" i="4"/>
  <c r="H103" i="4"/>
  <c r="BL103" i="4"/>
  <c r="F103" i="4"/>
  <c r="CB102" i="4"/>
  <c r="BY102" i="4"/>
  <c r="BX102" i="4"/>
  <c r="BW102" i="4"/>
  <c r="BV102" i="4"/>
  <c r="BU102" i="4"/>
  <c r="BT102" i="4"/>
  <c r="BS102" i="4"/>
  <c r="BR102" i="4"/>
  <c r="BN102" i="4"/>
  <c r="BM102" i="4"/>
  <c r="BH102" i="4"/>
  <c r="BG102" i="4"/>
  <c r="BF102" i="4"/>
  <c r="BE102" i="4"/>
  <c r="AV102" i="4"/>
  <c r="AS102" i="4"/>
  <c r="AO102" i="4"/>
  <c r="BJ102" i="4"/>
  <c r="AN102" i="4"/>
  <c r="AA102" i="4"/>
  <c r="U102" i="4"/>
  <c r="T102" i="4"/>
  <c r="S102" i="4"/>
  <c r="R102" i="4"/>
  <c r="L102" i="4"/>
  <c r="AT102" i="4"/>
  <c r="H102" i="4"/>
  <c r="BL102" i="4"/>
  <c r="F102" i="4"/>
  <c r="CB101" i="4"/>
  <c r="BY101" i="4"/>
  <c r="BX101" i="4"/>
  <c r="BW101" i="4"/>
  <c r="BV101" i="4"/>
  <c r="BU101" i="4"/>
  <c r="BT101" i="4"/>
  <c r="BS101" i="4"/>
  <c r="BR101" i="4"/>
  <c r="BM101" i="4"/>
  <c r="BN101" i="4"/>
  <c r="BH101" i="4"/>
  <c r="BG101" i="4"/>
  <c r="BF101" i="4"/>
  <c r="BE101" i="4"/>
  <c r="AV101" i="4"/>
  <c r="AS101" i="4"/>
  <c r="AO101" i="4"/>
  <c r="BJ101" i="4"/>
  <c r="AN101" i="4"/>
  <c r="AA101" i="4"/>
  <c r="U101" i="4"/>
  <c r="T101" i="4"/>
  <c r="S101" i="4"/>
  <c r="R101" i="4"/>
  <c r="L101" i="4"/>
  <c r="AT101" i="4"/>
  <c r="H101" i="4"/>
  <c r="BL101" i="4"/>
  <c r="F101" i="4"/>
  <c r="CB100" i="4"/>
  <c r="BY100" i="4"/>
  <c r="BX100" i="4"/>
  <c r="BW100" i="4"/>
  <c r="BV100" i="4"/>
  <c r="BU100" i="4"/>
  <c r="BT100" i="4"/>
  <c r="BS100" i="4"/>
  <c r="BR100" i="4"/>
  <c r="BN100" i="4"/>
  <c r="BM100" i="4"/>
  <c r="BH100" i="4"/>
  <c r="BG100" i="4"/>
  <c r="BF100" i="4"/>
  <c r="BE100" i="4"/>
  <c r="AV100" i="4"/>
  <c r="AS100" i="4"/>
  <c r="AR100" i="4"/>
  <c r="AO100" i="4"/>
  <c r="BJ100" i="4"/>
  <c r="AN100" i="4"/>
  <c r="AA100" i="4"/>
  <c r="U100" i="4"/>
  <c r="T100" i="4"/>
  <c r="S100" i="4"/>
  <c r="R100" i="4"/>
  <c r="L100" i="4"/>
  <c r="AT100" i="4"/>
  <c r="H100" i="4"/>
  <c r="BL100" i="4"/>
  <c r="G100" i="4"/>
  <c r="F100" i="4"/>
  <c r="CB99" i="4"/>
  <c r="BY99" i="4"/>
  <c r="BX99" i="4"/>
  <c r="BW99" i="4"/>
  <c r="BV99" i="4"/>
  <c r="BU99" i="4"/>
  <c r="BT99" i="4"/>
  <c r="BS99" i="4"/>
  <c r="BR99" i="4"/>
  <c r="BM99" i="4"/>
  <c r="BN99" i="4"/>
  <c r="BH99" i="4"/>
  <c r="BG99" i="4"/>
  <c r="BF99" i="4"/>
  <c r="BE99" i="4"/>
  <c r="AV99" i="4"/>
  <c r="AS99" i="4"/>
  <c r="AO99" i="4"/>
  <c r="BJ99" i="4"/>
  <c r="AN99" i="4"/>
  <c r="AA99" i="4"/>
  <c r="U99" i="4"/>
  <c r="T99" i="4"/>
  <c r="S99" i="4"/>
  <c r="R99" i="4"/>
  <c r="L99" i="4"/>
  <c r="AT99" i="4"/>
  <c r="H99" i="4"/>
  <c r="BL99" i="4"/>
  <c r="F99" i="4"/>
  <c r="CB98" i="4"/>
  <c r="BY98" i="4"/>
  <c r="BX98" i="4"/>
  <c r="BW98" i="4"/>
  <c r="BV98" i="4"/>
  <c r="BU98" i="4"/>
  <c r="BT98" i="4"/>
  <c r="BS98" i="4"/>
  <c r="BR98" i="4"/>
  <c r="BM98" i="4"/>
  <c r="BN98" i="4"/>
  <c r="BH98" i="4"/>
  <c r="BG98" i="4"/>
  <c r="BF98" i="4"/>
  <c r="BE98" i="4"/>
  <c r="AV98" i="4"/>
  <c r="AS98" i="4"/>
  <c r="AO98" i="4"/>
  <c r="BJ98" i="4"/>
  <c r="AN98" i="4"/>
  <c r="AA98" i="4"/>
  <c r="U98" i="4"/>
  <c r="T98" i="4"/>
  <c r="S98" i="4"/>
  <c r="R98" i="4"/>
  <c r="L98" i="4"/>
  <c r="H98" i="4"/>
  <c r="BL98" i="4"/>
  <c r="F98" i="4"/>
  <c r="CB97" i="4"/>
  <c r="BY97" i="4"/>
  <c r="BX97" i="4"/>
  <c r="BW97" i="4"/>
  <c r="BV97" i="4"/>
  <c r="BU97" i="4"/>
  <c r="BT97" i="4"/>
  <c r="BS97" i="4"/>
  <c r="BR97" i="4"/>
  <c r="BM97" i="4"/>
  <c r="BN97" i="4"/>
  <c r="BH97" i="4"/>
  <c r="BG97" i="4"/>
  <c r="BF97" i="4"/>
  <c r="BE97" i="4"/>
  <c r="AV97" i="4"/>
  <c r="AS97" i="4"/>
  <c r="AO97" i="4"/>
  <c r="BJ97" i="4"/>
  <c r="AN97" i="4"/>
  <c r="AA97" i="4"/>
  <c r="U97" i="4"/>
  <c r="T97" i="4"/>
  <c r="S97" i="4"/>
  <c r="R97" i="4"/>
  <c r="L97" i="4"/>
  <c r="AT97" i="4"/>
  <c r="H97" i="4"/>
  <c r="BL97" i="4"/>
  <c r="F97" i="4"/>
  <c r="CB96" i="4"/>
  <c r="BY96" i="4"/>
  <c r="BX96" i="4"/>
  <c r="BW96" i="4"/>
  <c r="BV96" i="4"/>
  <c r="BU96" i="4"/>
  <c r="BT96" i="4"/>
  <c r="BS96" i="4"/>
  <c r="BR96" i="4"/>
  <c r="BM96" i="4"/>
  <c r="BN96" i="4"/>
  <c r="BH96" i="4"/>
  <c r="BG96" i="4"/>
  <c r="BF96" i="4"/>
  <c r="BE96" i="4"/>
  <c r="AV96" i="4"/>
  <c r="AS96" i="4"/>
  <c r="AO96" i="4"/>
  <c r="BJ96" i="4"/>
  <c r="AN96" i="4"/>
  <c r="AA96" i="4"/>
  <c r="U96" i="4"/>
  <c r="T96" i="4"/>
  <c r="S96" i="4"/>
  <c r="R96" i="4"/>
  <c r="L96" i="4"/>
  <c r="AT96" i="4"/>
  <c r="H96" i="4"/>
  <c r="BL96" i="4"/>
  <c r="G96" i="4"/>
  <c r="F96" i="4"/>
  <c r="CB95" i="4"/>
  <c r="BY95" i="4"/>
  <c r="BX95" i="4"/>
  <c r="BW95" i="4"/>
  <c r="BV95" i="4"/>
  <c r="BU95" i="4"/>
  <c r="BT95" i="4"/>
  <c r="BS95" i="4"/>
  <c r="BR95" i="4"/>
  <c r="BM95" i="4"/>
  <c r="BN95" i="4"/>
  <c r="BH95" i="4"/>
  <c r="BG95" i="4"/>
  <c r="BF95" i="4"/>
  <c r="BE95" i="4"/>
  <c r="BI95" i="4"/>
  <c r="AV95" i="4"/>
  <c r="AS95" i="4"/>
  <c r="AO95" i="4"/>
  <c r="BJ95" i="4"/>
  <c r="AN95" i="4"/>
  <c r="AA95" i="4"/>
  <c r="U95" i="4"/>
  <c r="T95" i="4"/>
  <c r="S95" i="4"/>
  <c r="R95" i="4"/>
  <c r="L95" i="4"/>
  <c r="AT95" i="4"/>
  <c r="H95" i="4"/>
  <c r="BL95" i="4"/>
  <c r="F95" i="4"/>
  <c r="CB94" i="4"/>
  <c r="BY94" i="4"/>
  <c r="BX94" i="4"/>
  <c r="BW94" i="4"/>
  <c r="BV94" i="4"/>
  <c r="BU94" i="4"/>
  <c r="BT94" i="4"/>
  <c r="BS94" i="4"/>
  <c r="BR94" i="4"/>
  <c r="BN94" i="4"/>
  <c r="BM94" i="4"/>
  <c r="BH94" i="4"/>
  <c r="BG94" i="4"/>
  <c r="BF94" i="4"/>
  <c r="BE94" i="4"/>
  <c r="AV94" i="4"/>
  <c r="AS94" i="4"/>
  <c r="AO94" i="4"/>
  <c r="BJ94" i="4"/>
  <c r="AN94" i="4"/>
  <c r="AA94" i="4"/>
  <c r="U94" i="4"/>
  <c r="T94" i="4"/>
  <c r="S94" i="4"/>
  <c r="R94" i="4"/>
  <c r="L94" i="4"/>
  <c r="AT94" i="4"/>
  <c r="H94" i="4"/>
  <c r="BL94" i="4"/>
  <c r="F94" i="4"/>
  <c r="CB93" i="4"/>
  <c r="BY93" i="4"/>
  <c r="BX93" i="4"/>
  <c r="BW93" i="4"/>
  <c r="BV93" i="4"/>
  <c r="BU93" i="4"/>
  <c r="BT93" i="4"/>
  <c r="BS93" i="4"/>
  <c r="BR93" i="4"/>
  <c r="BM93" i="4"/>
  <c r="BN93" i="4"/>
  <c r="BH93" i="4"/>
  <c r="BG93" i="4"/>
  <c r="BF93" i="4"/>
  <c r="BE93" i="4"/>
  <c r="AV93" i="4"/>
  <c r="AS93" i="4"/>
  <c r="AO93" i="4"/>
  <c r="BJ93" i="4"/>
  <c r="AN93" i="4"/>
  <c r="AA93" i="4"/>
  <c r="U93" i="4"/>
  <c r="T93" i="4"/>
  <c r="S93" i="4"/>
  <c r="R93" i="4"/>
  <c r="L93" i="4"/>
  <c r="W93" i="4"/>
  <c r="Y93" i="4"/>
  <c r="H93" i="4"/>
  <c r="BL93" i="4"/>
  <c r="F93" i="4"/>
  <c r="CB92" i="4"/>
  <c r="BY92" i="4"/>
  <c r="BX92" i="4"/>
  <c r="BW92" i="4"/>
  <c r="BV92" i="4"/>
  <c r="BU92" i="4"/>
  <c r="BT92" i="4"/>
  <c r="BS92" i="4"/>
  <c r="BR92" i="4"/>
  <c r="BM92" i="4"/>
  <c r="BN92" i="4"/>
  <c r="BH92" i="4"/>
  <c r="BG92" i="4"/>
  <c r="BF92" i="4"/>
  <c r="BE92" i="4"/>
  <c r="AV92" i="4"/>
  <c r="AS92" i="4"/>
  <c r="AO92" i="4"/>
  <c r="BJ92" i="4"/>
  <c r="AN92" i="4"/>
  <c r="AA92" i="4"/>
  <c r="U92" i="4"/>
  <c r="T92" i="4"/>
  <c r="S92" i="4"/>
  <c r="R92" i="4"/>
  <c r="L92" i="4"/>
  <c r="W92" i="4"/>
  <c r="Y92" i="4"/>
  <c r="H92" i="4"/>
  <c r="BL92" i="4"/>
  <c r="F92" i="4"/>
  <c r="CB91" i="4"/>
  <c r="BY91" i="4"/>
  <c r="BX91" i="4"/>
  <c r="BW91" i="4"/>
  <c r="BV91" i="4"/>
  <c r="BU91" i="4"/>
  <c r="BT91" i="4"/>
  <c r="BS91" i="4"/>
  <c r="BR91" i="4"/>
  <c r="BM91" i="4"/>
  <c r="BN91" i="4"/>
  <c r="BH91" i="4"/>
  <c r="BG91" i="4"/>
  <c r="BF91" i="4"/>
  <c r="BE91" i="4"/>
  <c r="AV91" i="4"/>
  <c r="AS91" i="4"/>
  <c r="AO91" i="4"/>
  <c r="BJ91" i="4"/>
  <c r="AN91" i="4"/>
  <c r="AA91" i="4"/>
  <c r="U91" i="4"/>
  <c r="T91" i="4"/>
  <c r="S91" i="4"/>
  <c r="R91" i="4"/>
  <c r="L91" i="4"/>
  <c r="W91" i="4"/>
  <c r="Y91" i="4"/>
  <c r="H91" i="4"/>
  <c r="BL91" i="4"/>
  <c r="F91" i="4"/>
  <c r="CB90" i="4"/>
  <c r="BY90" i="4"/>
  <c r="BX90" i="4"/>
  <c r="BW90" i="4"/>
  <c r="BV90" i="4"/>
  <c r="BU90" i="4"/>
  <c r="BT90" i="4"/>
  <c r="BS90" i="4"/>
  <c r="BR90" i="4"/>
  <c r="BN90" i="4"/>
  <c r="BM90" i="4"/>
  <c r="BH90" i="4"/>
  <c r="BG90" i="4"/>
  <c r="BF90" i="4"/>
  <c r="BE90" i="4"/>
  <c r="AV90" i="4"/>
  <c r="AS90" i="4"/>
  <c r="AO90" i="4"/>
  <c r="BJ90" i="4"/>
  <c r="AN90" i="4"/>
  <c r="AA90" i="4"/>
  <c r="U90" i="4"/>
  <c r="T90" i="4"/>
  <c r="S90" i="4"/>
  <c r="R90" i="4"/>
  <c r="L90" i="4"/>
  <c r="H90" i="4"/>
  <c r="BL90" i="4"/>
  <c r="F90" i="4"/>
  <c r="CB89" i="4"/>
  <c r="BY89" i="4"/>
  <c r="BX89" i="4"/>
  <c r="BW89" i="4"/>
  <c r="BV89" i="4"/>
  <c r="BU89" i="4"/>
  <c r="BT89" i="4"/>
  <c r="BS89" i="4"/>
  <c r="BR89" i="4"/>
  <c r="BM89" i="4"/>
  <c r="BN89" i="4"/>
  <c r="BL89" i="4"/>
  <c r="BH89" i="4"/>
  <c r="BG89" i="4"/>
  <c r="BF89" i="4"/>
  <c r="BE89" i="4"/>
  <c r="BI89" i="4"/>
  <c r="AV89" i="4"/>
  <c r="AS89" i="4"/>
  <c r="AO89" i="4"/>
  <c r="BJ89" i="4"/>
  <c r="AN89" i="4"/>
  <c r="AA89" i="4"/>
  <c r="U89" i="4"/>
  <c r="T89" i="4"/>
  <c r="S89" i="4"/>
  <c r="R89" i="4"/>
  <c r="L89" i="4"/>
  <c r="H89" i="4"/>
  <c r="F89" i="4"/>
  <c r="CB88" i="4"/>
  <c r="BY88" i="4"/>
  <c r="BX88" i="4"/>
  <c r="BW88" i="4"/>
  <c r="BV88" i="4"/>
  <c r="BU88" i="4"/>
  <c r="BT88" i="4"/>
  <c r="BS88" i="4"/>
  <c r="BR88" i="4"/>
  <c r="BM88" i="4"/>
  <c r="BN88" i="4"/>
  <c r="BH88" i="4"/>
  <c r="BG88" i="4"/>
  <c r="BF88" i="4"/>
  <c r="BE88" i="4"/>
  <c r="AV88" i="4"/>
  <c r="AS88" i="4"/>
  <c r="AO88" i="4"/>
  <c r="BJ88" i="4"/>
  <c r="AN88" i="4"/>
  <c r="AA88" i="4"/>
  <c r="U88" i="4"/>
  <c r="T88" i="4"/>
  <c r="S88" i="4"/>
  <c r="CJ88" i="4"/>
  <c r="R88" i="4"/>
  <c r="L88" i="4"/>
  <c r="W88" i="4"/>
  <c r="Y88" i="4"/>
  <c r="H88" i="4"/>
  <c r="BL88" i="4"/>
  <c r="F88" i="4"/>
  <c r="CB87" i="4"/>
  <c r="BY87" i="4"/>
  <c r="BX87" i="4"/>
  <c r="BW87" i="4"/>
  <c r="BV87" i="4"/>
  <c r="BU87" i="4"/>
  <c r="BT87" i="4"/>
  <c r="BS87" i="4"/>
  <c r="BR87" i="4"/>
  <c r="BM87" i="4"/>
  <c r="BN87" i="4"/>
  <c r="BH87" i="4"/>
  <c r="BG87" i="4"/>
  <c r="BF87" i="4"/>
  <c r="BE87" i="4"/>
  <c r="AV87" i="4"/>
  <c r="AS87" i="4"/>
  <c r="AO87" i="4"/>
  <c r="BJ87" i="4"/>
  <c r="AN87" i="4"/>
  <c r="AA87" i="4"/>
  <c r="W87" i="4"/>
  <c r="Y87" i="4"/>
  <c r="U87" i="4"/>
  <c r="T87" i="4"/>
  <c r="S87" i="4"/>
  <c r="R87" i="4"/>
  <c r="CJ87" i="4"/>
  <c r="L87" i="4"/>
  <c r="AR87" i="4"/>
  <c r="H87" i="4"/>
  <c r="BL87" i="4"/>
  <c r="F87" i="4"/>
  <c r="CB86" i="4"/>
  <c r="BY86" i="4"/>
  <c r="BX86" i="4"/>
  <c r="BW86" i="4"/>
  <c r="BV86" i="4"/>
  <c r="BU86" i="4"/>
  <c r="BT86" i="4"/>
  <c r="BS86" i="4"/>
  <c r="BR86" i="4"/>
  <c r="BM86" i="4"/>
  <c r="BN86" i="4"/>
  <c r="BH86" i="4"/>
  <c r="BG86" i="4"/>
  <c r="BF86" i="4"/>
  <c r="BE86" i="4"/>
  <c r="AV86" i="4"/>
  <c r="AS86" i="4"/>
  <c r="AO86" i="4"/>
  <c r="BJ86" i="4"/>
  <c r="AN86" i="4"/>
  <c r="AA86" i="4"/>
  <c r="U86" i="4"/>
  <c r="T86" i="4"/>
  <c r="S86" i="4"/>
  <c r="R86" i="4"/>
  <c r="L86" i="4"/>
  <c r="W86" i="4"/>
  <c r="Y86" i="4"/>
  <c r="H86" i="4"/>
  <c r="BL86" i="4"/>
  <c r="F86" i="4"/>
  <c r="CB85" i="4"/>
  <c r="BY85" i="4"/>
  <c r="BX85" i="4"/>
  <c r="BW85" i="4"/>
  <c r="BV85" i="4"/>
  <c r="BU85" i="4"/>
  <c r="BT85" i="4"/>
  <c r="BS85" i="4"/>
  <c r="BR85" i="4"/>
  <c r="BM85" i="4"/>
  <c r="BN85" i="4"/>
  <c r="BH85" i="4"/>
  <c r="BG85" i="4"/>
  <c r="BF85" i="4"/>
  <c r="BE85" i="4"/>
  <c r="AV85" i="4"/>
  <c r="AS85" i="4"/>
  <c r="AO85" i="4"/>
  <c r="BJ85" i="4"/>
  <c r="AN85" i="4"/>
  <c r="AA85" i="4"/>
  <c r="U85" i="4"/>
  <c r="T85" i="4"/>
  <c r="S85" i="4"/>
  <c r="R85" i="4"/>
  <c r="L85" i="4"/>
  <c r="AT85" i="4"/>
  <c r="H85" i="4"/>
  <c r="BL85" i="4"/>
  <c r="F85" i="4"/>
  <c r="CJ84" i="4"/>
  <c r="CB84" i="4"/>
  <c r="BY84" i="4"/>
  <c r="BX84" i="4"/>
  <c r="BW84" i="4"/>
  <c r="BV84" i="4"/>
  <c r="BU84" i="4"/>
  <c r="BT84" i="4"/>
  <c r="BS84" i="4"/>
  <c r="BR84" i="4"/>
  <c r="BM84" i="4"/>
  <c r="BN84" i="4"/>
  <c r="BH84" i="4"/>
  <c r="BG84" i="4"/>
  <c r="BF84" i="4"/>
  <c r="BE84" i="4"/>
  <c r="AV84" i="4"/>
  <c r="AT84" i="4"/>
  <c r="AS84" i="4"/>
  <c r="AO84" i="4"/>
  <c r="BJ84" i="4"/>
  <c r="AN84" i="4"/>
  <c r="AA84" i="4"/>
  <c r="L84" i="4"/>
  <c r="W84" i="4"/>
  <c r="Y84" i="4"/>
  <c r="H84" i="4"/>
  <c r="BL84" i="4"/>
  <c r="G84" i="4"/>
  <c r="F84" i="4"/>
  <c r="CB83" i="4"/>
  <c r="BY83" i="4"/>
  <c r="BX83" i="4"/>
  <c r="BW83" i="4"/>
  <c r="BV83" i="4"/>
  <c r="BU83" i="4"/>
  <c r="BT83" i="4"/>
  <c r="BS83" i="4"/>
  <c r="BR83" i="4"/>
  <c r="BM83" i="4"/>
  <c r="BN83" i="4"/>
  <c r="BH83" i="4"/>
  <c r="BG83" i="4"/>
  <c r="BF83" i="4"/>
  <c r="BE83" i="4"/>
  <c r="AV83" i="4"/>
  <c r="AS83" i="4"/>
  <c r="AO83" i="4"/>
  <c r="BJ83" i="4"/>
  <c r="AN83" i="4"/>
  <c r="AA83" i="4"/>
  <c r="U83" i="4"/>
  <c r="T83" i="4"/>
  <c r="S83" i="4"/>
  <c r="R83" i="4"/>
  <c r="L83" i="4"/>
  <c r="AR83" i="4"/>
  <c r="H83" i="4"/>
  <c r="BL83" i="4"/>
  <c r="F83" i="4"/>
  <c r="BM82" i="4"/>
  <c r="BN82" i="4"/>
  <c r="BH82" i="4"/>
  <c r="BG82" i="4"/>
  <c r="BF82" i="4"/>
  <c r="BE82" i="4"/>
  <c r="AV82" i="4"/>
  <c r="AS82" i="4"/>
  <c r="AO82" i="4"/>
  <c r="BJ82" i="4"/>
  <c r="AN82" i="4"/>
  <c r="AA82" i="4"/>
  <c r="U82" i="4"/>
  <c r="T82" i="4"/>
  <c r="S82" i="4"/>
  <c r="R82" i="4"/>
  <c r="L82" i="4"/>
  <c r="AR82" i="4"/>
  <c r="H82" i="4"/>
  <c r="BL82" i="4"/>
  <c r="F82" i="4"/>
  <c r="CB81" i="4"/>
  <c r="BY81" i="4"/>
  <c r="BX81" i="4"/>
  <c r="BW81" i="4"/>
  <c r="BV81" i="4"/>
  <c r="BU81" i="4"/>
  <c r="BT81" i="4"/>
  <c r="BS81" i="4"/>
  <c r="BR81" i="4"/>
  <c r="BM81" i="4"/>
  <c r="BN81" i="4"/>
  <c r="BH81" i="4"/>
  <c r="BG81" i="4"/>
  <c r="BF81" i="4"/>
  <c r="BE81" i="4"/>
  <c r="AV81" i="4"/>
  <c r="AS81" i="4"/>
  <c r="AO81" i="4"/>
  <c r="BJ81" i="4"/>
  <c r="AN81" i="4"/>
  <c r="AA81" i="4"/>
  <c r="U81" i="4"/>
  <c r="T81" i="4"/>
  <c r="S81" i="4"/>
  <c r="R81" i="4"/>
  <c r="L81" i="4"/>
  <c r="AR81" i="4"/>
  <c r="H81" i="4"/>
  <c r="BL81" i="4"/>
  <c r="F81" i="4"/>
  <c r="CB80" i="4"/>
  <c r="BY80" i="4"/>
  <c r="BX80" i="4"/>
  <c r="BW80" i="4"/>
  <c r="BV80" i="4"/>
  <c r="BU80" i="4"/>
  <c r="BT80" i="4"/>
  <c r="BS80" i="4"/>
  <c r="BR80" i="4"/>
  <c r="BM80" i="4"/>
  <c r="BN80" i="4"/>
  <c r="BH80" i="4"/>
  <c r="BG80" i="4"/>
  <c r="BF80" i="4"/>
  <c r="BE80" i="4"/>
  <c r="AV80" i="4"/>
  <c r="AS80" i="4"/>
  <c r="AR80" i="4"/>
  <c r="AO80" i="4"/>
  <c r="BJ80" i="4"/>
  <c r="AN80" i="4"/>
  <c r="AA80" i="4"/>
  <c r="Y80" i="4"/>
  <c r="U80" i="4"/>
  <c r="T80" i="4"/>
  <c r="S80" i="4"/>
  <c r="R80" i="4"/>
  <c r="CJ80" i="4"/>
  <c r="L80" i="4"/>
  <c r="W80" i="4"/>
  <c r="H80" i="4"/>
  <c r="BL80" i="4"/>
  <c r="F80" i="4"/>
  <c r="CB79" i="4"/>
  <c r="BY79" i="4"/>
  <c r="BX79" i="4"/>
  <c r="BW79" i="4"/>
  <c r="BV79" i="4"/>
  <c r="BU79" i="4"/>
  <c r="BT79" i="4"/>
  <c r="BS79" i="4"/>
  <c r="BR79" i="4"/>
  <c r="BZ79" i="4"/>
  <c r="BM79" i="4"/>
  <c r="BN79" i="4"/>
  <c r="BH79" i="4"/>
  <c r="BG79" i="4"/>
  <c r="BF79" i="4"/>
  <c r="BE79" i="4"/>
  <c r="AV79" i="4"/>
  <c r="AS79" i="4"/>
  <c r="AO79" i="4"/>
  <c r="BJ79" i="4"/>
  <c r="AN79" i="4"/>
  <c r="AA79" i="4"/>
  <c r="U79" i="4"/>
  <c r="T79" i="4"/>
  <c r="S79" i="4"/>
  <c r="R79" i="4"/>
  <c r="L79" i="4"/>
  <c r="AT79" i="4"/>
  <c r="H79" i="4"/>
  <c r="BL79" i="4"/>
  <c r="F79" i="4"/>
  <c r="CB78" i="4"/>
  <c r="BY78" i="4"/>
  <c r="BX78" i="4"/>
  <c r="BW78" i="4"/>
  <c r="BV78" i="4"/>
  <c r="BU78" i="4"/>
  <c r="BT78" i="4"/>
  <c r="BS78" i="4"/>
  <c r="BR78" i="4"/>
  <c r="BN78" i="4"/>
  <c r="BM78" i="4"/>
  <c r="BH78" i="4"/>
  <c r="BG78" i="4"/>
  <c r="BF78" i="4"/>
  <c r="BE78" i="4"/>
  <c r="AV78" i="4"/>
  <c r="AS78" i="4"/>
  <c r="AO78" i="4"/>
  <c r="BJ78" i="4"/>
  <c r="AN78" i="4"/>
  <c r="AA78" i="4"/>
  <c r="U78" i="4"/>
  <c r="T78" i="4"/>
  <c r="S78" i="4"/>
  <c r="R78" i="4"/>
  <c r="L78" i="4"/>
  <c r="AR78" i="4"/>
  <c r="J78" i="4"/>
  <c r="AX78" i="4"/>
  <c r="H78" i="4"/>
  <c r="BL78" i="4"/>
  <c r="F78" i="4"/>
  <c r="CB77" i="4"/>
  <c r="BY77" i="4"/>
  <c r="BX77" i="4"/>
  <c r="BW77" i="4"/>
  <c r="BV77" i="4"/>
  <c r="BU77" i="4"/>
  <c r="BT77" i="4"/>
  <c r="BS77" i="4"/>
  <c r="BR77" i="4"/>
  <c r="BM77" i="4"/>
  <c r="BN77" i="4"/>
  <c r="BH77" i="4"/>
  <c r="BG77" i="4"/>
  <c r="BF77" i="4"/>
  <c r="BE77" i="4"/>
  <c r="AV77" i="4"/>
  <c r="AS77" i="4"/>
  <c r="AO77" i="4"/>
  <c r="BJ77" i="4"/>
  <c r="AN77" i="4"/>
  <c r="AA77" i="4"/>
  <c r="U77" i="4"/>
  <c r="T77" i="4"/>
  <c r="S77" i="4"/>
  <c r="R77" i="4"/>
  <c r="L77" i="4"/>
  <c r="AT77" i="4"/>
  <c r="J77" i="4"/>
  <c r="AX77" i="4"/>
  <c r="H77" i="4"/>
  <c r="BL77" i="4"/>
  <c r="F77" i="4"/>
  <c r="CJ76" i="4"/>
  <c r="CB76" i="4"/>
  <c r="BY76" i="4"/>
  <c r="BX76" i="4"/>
  <c r="BW76" i="4"/>
  <c r="BV76" i="4"/>
  <c r="BU76" i="4"/>
  <c r="BT76" i="4"/>
  <c r="BS76" i="4"/>
  <c r="BR76" i="4"/>
  <c r="BM76" i="4"/>
  <c r="BN76" i="4"/>
  <c r="BH76" i="4"/>
  <c r="BG76" i="4"/>
  <c r="BF76" i="4"/>
  <c r="BE76" i="4"/>
  <c r="AV76" i="4"/>
  <c r="AS76" i="4"/>
  <c r="AO76" i="4"/>
  <c r="BJ76" i="4"/>
  <c r="AN76" i="4"/>
  <c r="AA76" i="4"/>
  <c r="L76" i="4"/>
  <c r="H76" i="4"/>
  <c r="BL76" i="4"/>
  <c r="F76" i="4"/>
  <c r="CJ75" i="4"/>
  <c r="CB75" i="4"/>
  <c r="BY75" i="4"/>
  <c r="BX75" i="4"/>
  <c r="BW75" i="4"/>
  <c r="BV75" i="4"/>
  <c r="BU75" i="4"/>
  <c r="BT75" i="4"/>
  <c r="BS75" i="4"/>
  <c r="BR75" i="4"/>
  <c r="BM75" i="4"/>
  <c r="BN75" i="4"/>
  <c r="BH75" i="4"/>
  <c r="BG75" i="4"/>
  <c r="BF75" i="4"/>
  <c r="BE75" i="4"/>
  <c r="AV75" i="4"/>
  <c r="AS75" i="4"/>
  <c r="AO75" i="4"/>
  <c r="BJ75" i="4"/>
  <c r="AN75" i="4"/>
  <c r="L75" i="4"/>
  <c r="G75" i="4"/>
  <c r="H75" i="4"/>
  <c r="BL75" i="4"/>
  <c r="F75" i="4"/>
  <c r="CB74" i="4"/>
  <c r="BY74" i="4"/>
  <c r="BX74" i="4"/>
  <c r="BW74" i="4"/>
  <c r="BV74" i="4"/>
  <c r="BU74" i="4"/>
  <c r="BT74" i="4"/>
  <c r="BS74" i="4"/>
  <c r="BR74" i="4"/>
  <c r="BM74" i="4"/>
  <c r="BN74" i="4"/>
  <c r="BH74" i="4"/>
  <c r="BG74" i="4"/>
  <c r="BF74" i="4"/>
  <c r="BE74" i="4"/>
  <c r="AV74" i="4"/>
  <c r="AS74" i="4"/>
  <c r="AO74" i="4"/>
  <c r="BJ74" i="4"/>
  <c r="AN74" i="4"/>
  <c r="AA74" i="4"/>
  <c r="U74" i="4"/>
  <c r="T74" i="4"/>
  <c r="S74" i="4"/>
  <c r="R74" i="4"/>
  <c r="L74" i="4"/>
  <c r="AT74" i="4"/>
  <c r="J74" i="4"/>
  <c r="AX74" i="4"/>
  <c r="H74" i="4"/>
  <c r="BL74" i="4"/>
  <c r="F74" i="4"/>
  <c r="CB73" i="4"/>
  <c r="BY73" i="4"/>
  <c r="BX73" i="4"/>
  <c r="BW73" i="4"/>
  <c r="BV73" i="4"/>
  <c r="BU73" i="4"/>
  <c r="BT73" i="4"/>
  <c r="BS73" i="4"/>
  <c r="BR73" i="4"/>
  <c r="BN73" i="4"/>
  <c r="BM73" i="4"/>
  <c r="BH73" i="4"/>
  <c r="BG73" i="4"/>
  <c r="BF73" i="4"/>
  <c r="BE73" i="4"/>
  <c r="AV73" i="4"/>
  <c r="AS73" i="4"/>
  <c r="AO73" i="4"/>
  <c r="BJ73" i="4"/>
  <c r="AN73" i="4"/>
  <c r="AA73" i="4"/>
  <c r="U73" i="4"/>
  <c r="T73" i="4"/>
  <c r="S73" i="4"/>
  <c r="R73" i="4"/>
  <c r="L73" i="4"/>
  <c r="AT73" i="4"/>
  <c r="J73" i="4"/>
  <c r="AX73" i="4"/>
  <c r="H73" i="4"/>
  <c r="BL73" i="4"/>
  <c r="F73" i="4"/>
  <c r="CB72" i="4"/>
  <c r="BY72" i="4"/>
  <c r="BX72" i="4"/>
  <c r="BW72" i="4"/>
  <c r="BV72" i="4"/>
  <c r="BU72" i="4"/>
  <c r="BT72" i="4"/>
  <c r="BS72" i="4"/>
  <c r="BR72" i="4"/>
  <c r="BM72" i="4"/>
  <c r="BN72" i="4"/>
  <c r="BH72" i="4"/>
  <c r="BG72" i="4"/>
  <c r="BF72" i="4"/>
  <c r="BE72" i="4"/>
  <c r="AV72" i="4"/>
  <c r="AS72" i="4"/>
  <c r="AO72" i="4"/>
  <c r="BJ72" i="4"/>
  <c r="AN72" i="4"/>
  <c r="AA72" i="4"/>
  <c r="U72" i="4"/>
  <c r="T72" i="4"/>
  <c r="S72" i="4"/>
  <c r="R72" i="4"/>
  <c r="L72" i="4"/>
  <c r="H72" i="4"/>
  <c r="BL72" i="4"/>
  <c r="F72" i="4"/>
  <c r="CB71" i="4"/>
  <c r="BY71" i="4"/>
  <c r="BX71" i="4"/>
  <c r="BW71" i="4"/>
  <c r="BV71" i="4"/>
  <c r="BU71" i="4"/>
  <c r="BT71" i="4"/>
  <c r="BS71" i="4"/>
  <c r="BR71" i="4"/>
  <c r="BM71" i="4"/>
  <c r="BN71" i="4"/>
  <c r="BH71" i="4"/>
  <c r="BG71" i="4"/>
  <c r="BF71" i="4"/>
  <c r="BE71" i="4"/>
  <c r="AV71" i="4"/>
  <c r="AS71" i="4"/>
  <c r="AO71" i="4"/>
  <c r="BJ71" i="4"/>
  <c r="AN71" i="4"/>
  <c r="AA71" i="4"/>
  <c r="U71" i="4"/>
  <c r="T71" i="4"/>
  <c r="S71" i="4"/>
  <c r="R71" i="4"/>
  <c r="L71" i="4"/>
  <c r="W71" i="4"/>
  <c r="Y71" i="4"/>
  <c r="H71" i="4"/>
  <c r="BL71" i="4"/>
  <c r="F71" i="4"/>
  <c r="BX70" i="4"/>
  <c r="BW70" i="4"/>
  <c r="BV70" i="4"/>
  <c r="BU70" i="4"/>
  <c r="BT70" i="4"/>
  <c r="BS70" i="4"/>
  <c r="BR70" i="4"/>
  <c r="BM70" i="4"/>
  <c r="BH70" i="4"/>
  <c r="BG70" i="4"/>
  <c r="BF70" i="4"/>
  <c r="BE70" i="4"/>
  <c r="AO70" i="4"/>
  <c r="Q70" i="4"/>
  <c r="U70" i="4"/>
  <c r="P70" i="4"/>
  <c r="L70" i="4"/>
  <c r="W70" i="4"/>
  <c r="Y70" i="4"/>
  <c r="F70" i="4"/>
  <c r="CB69" i="4"/>
  <c r="BY69" i="4"/>
  <c r="BX69" i="4"/>
  <c r="BW69" i="4"/>
  <c r="BV69" i="4"/>
  <c r="BU69" i="4"/>
  <c r="BT69" i="4"/>
  <c r="BS69" i="4"/>
  <c r="BR69" i="4"/>
  <c r="BM69" i="4"/>
  <c r="BN69" i="4"/>
  <c r="BH69" i="4"/>
  <c r="BG69" i="4"/>
  <c r="BF69" i="4"/>
  <c r="BE69" i="4"/>
  <c r="AV69" i="4"/>
  <c r="AS69" i="4"/>
  <c r="AO69" i="4"/>
  <c r="BJ69" i="4"/>
  <c r="AN69" i="4"/>
  <c r="AA69" i="4"/>
  <c r="U69" i="4"/>
  <c r="T69" i="4"/>
  <c r="S69" i="4"/>
  <c r="R69" i="4"/>
  <c r="L69" i="4"/>
  <c r="H69" i="4"/>
  <c r="BL69" i="4"/>
  <c r="F69" i="4"/>
  <c r="CB68" i="4"/>
  <c r="BY68" i="4"/>
  <c r="BX68" i="4"/>
  <c r="BW68" i="4"/>
  <c r="BV68" i="4"/>
  <c r="BU68" i="4"/>
  <c r="BT68" i="4"/>
  <c r="BS68" i="4"/>
  <c r="BR68" i="4"/>
  <c r="BM68" i="4"/>
  <c r="BN68" i="4"/>
  <c r="BH68" i="4"/>
  <c r="BG68" i="4"/>
  <c r="BF68" i="4"/>
  <c r="BE68" i="4"/>
  <c r="AV68" i="4"/>
  <c r="AS68" i="4"/>
  <c r="AO68" i="4"/>
  <c r="BJ68" i="4"/>
  <c r="AA68" i="4"/>
  <c r="U68" i="4"/>
  <c r="T68" i="4"/>
  <c r="S68" i="4"/>
  <c r="R68" i="4"/>
  <c r="L68" i="4"/>
  <c r="AR68" i="4"/>
  <c r="H68" i="4"/>
  <c r="BL68" i="4"/>
  <c r="F68" i="4"/>
  <c r="CB67" i="4"/>
  <c r="BY67" i="4"/>
  <c r="BX67" i="4"/>
  <c r="BW67" i="4"/>
  <c r="BV67" i="4"/>
  <c r="BU67" i="4"/>
  <c r="BT67" i="4"/>
  <c r="BS67" i="4"/>
  <c r="BR67" i="4"/>
  <c r="BM67" i="4"/>
  <c r="BN67" i="4"/>
  <c r="BH67" i="4"/>
  <c r="BG67" i="4"/>
  <c r="BF67" i="4"/>
  <c r="BE67" i="4"/>
  <c r="AV67" i="4"/>
  <c r="AS67" i="4"/>
  <c r="AO67" i="4"/>
  <c r="BJ67" i="4"/>
  <c r="AN67" i="4"/>
  <c r="AA67" i="4"/>
  <c r="U67" i="4"/>
  <c r="T67" i="4"/>
  <c r="S67" i="4"/>
  <c r="R67" i="4"/>
  <c r="L67" i="4"/>
  <c r="H67" i="4"/>
  <c r="BL67" i="4"/>
  <c r="F67" i="4"/>
  <c r="CB66" i="4"/>
  <c r="BY66" i="4"/>
  <c r="BX66" i="4"/>
  <c r="BW66" i="4"/>
  <c r="BV66" i="4"/>
  <c r="BU66" i="4"/>
  <c r="BT66" i="4"/>
  <c r="BS66" i="4"/>
  <c r="BR66" i="4"/>
  <c r="BM66" i="4"/>
  <c r="BN66" i="4"/>
  <c r="BH66" i="4"/>
  <c r="BG66" i="4"/>
  <c r="BF66" i="4"/>
  <c r="BE66" i="4"/>
  <c r="AX66" i="4"/>
  <c r="AV66" i="4"/>
  <c r="AS66" i="4"/>
  <c r="AO66" i="4"/>
  <c r="BJ66" i="4"/>
  <c r="AN66" i="4"/>
  <c r="AA66" i="4"/>
  <c r="U66" i="4"/>
  <c r="T66" i="4"/>
  <c r="S66" i="4"/>
  <c r="R66" i="4"/>
  <c r="L66" i="4"/>
  <c r="H66" i="4"/>
  <c r="BL66" i="4"/>
  <c r="G66" i="4"/>
  <c r="F66" i="4"/>
  <c r="CB65" i="4"/>
  <c r="BY65" i="4"/>
  <c r="BX65" i="4"/>
  <c r="BW65" i="4"/>
  <c r="BV65" i="4"/>
  <c r="BU65" i="4"/>
  <c r="BT65" i="4"/>
  <c r="BS65" i="4"/>
  <c r="BR65" i="4"/>
  <c r="BM65" i="4"/>
  <c r="BN65" i="4"/>
  <c r="BL65" i="4"/>
  <c r="BH65" i="4"/>
  <c r="BG65" i="4"/>
  <c r="BF65" i="4"/>
  <c r="BE65" i="4"/>
  <c r="AX65" i="4"/>
  <c r="AV65" i="4"/>
  <c r="AS65" i="4"/>
  <c r="AO65" i="4"/>
  <c r="BJ65" i="4"/>
  <c r="AN65" i="4"/>
  <c r="AA65" i="4"/>
  <c r="U65" i="4"/>
  <c r="T65" i="4"/>
  <c r="S65" i="4"/>
  <c r="R65" i="4"/>
  <c r="L65" i="4"/>
  <c r="AR65" i="4"/>
  <c r="H65" i="4"/>
  <c r="F65" i="4"/>
  <c r="CB64" i="4"/>
  <c r="BY64" i="4"/>
  <c r="BX64" i="4"/>
  <c r="BW64" i="4"/>
  <c r="BV64" i="4"/>
  <c r="BU64" i="4"/>
  <c r="BT64" i="4"/>
  <c r="BS64" i="4"/>
  <c r="BR64" i="4"/>
  <c r="BN64" i="4"/>
  <c r="BM64" i="4"/>
  <c r="BH64" i="4"/>
  <c r="BG64" i="4"/>
  <c r="BF64" i="4"/>
  <c r="BE64" i="4"/>
  <c r="AV64" i="4"/>
  <c r="AS64" i="4"/>
  <c r="AR64" i="4"/>
  <c r="AO64" i="4"/>
  <c r="BJ64" i="4"/>
  <c r="AN64" i="4"/>
  <c r="AA64" i="4"/>
  <c r="W64" i="4"/>
  <c r="Y64" i="4"/>
  <c r="U64" i="4"/>
  <c r="T64" i="4"/>
  <c r="S64" i="4"/>
  <c r="R64" i="4"/>
  <c r="L64" i="4"/>
  <c r="AT64" i="4"/>
  <c r="J64" i="4"/>
  <c r="AX64" i="4"/>
  <c r="H64" i="4"/>
  <c r="BL64" i="4"/>
  <c r="G64" i="4"/>
  <c r="F64" i="4"/>
  <c r="CB63" i="4"/>
  <c r="BY63" i="4"/>
  <c r="BX63" i="4"/>
  <c r="BW63" i="4"/>
  <c r="BV63" i="4"/>
  <c r="BU63" i="4"/>
  <c r="BT63" i="4"/>
  <c r="BS63" i="4"/>
  <c r="BR63" i="4"/>
  <c r="BM63" i="4"/>
  <c r="BN63" i="4"/>
  <c r="BH63" i="4"/>
  <c r="BG63" i="4"/>
  <c r="BF63" i="4"/>
  <c r="BE63" i="4"/>
  <c r="AX63" i="4"/>
  <c r="AV63" i="4"/>
  <c r="AS63" i="4"/>
  <c r="AO63" i="4"/>
  <c r="BJ63" i="4"/>
  <c r="AN63" i="4"/>
  <c r="AA63" i="4"/>
  <c r="U63" i="4"/>
  <c r="T63" i="4"/>
  <c r="S63" i="4"/>
  <c r="CJ63" i="4"/>
  <c r="R63" i="4"/>
  <c r="L63" i="4"/>
  <c r="AR63" i="4"/>
  <c r="J63" i="4"/>
  <c r="H63" i="4"/>
  <c r="BL63" i="4"/>
  <c r="F63" i="4"/>
  <c r="CB62" i="4"/>
  <c r="BY62" i="4"/>
  <c r="BX62" i="4"/>
  <c r="BW62" i="4"/>
  <c r="BV62" i="4"/>
  <c r="BU62" i="4"/>
  <c r="BT62" i="4"/>
  <c r="BS62" i="4"/>
  <c r="BR62" i="4"/>
  <c r="BM62" i="4"/>
  <c r="BN62" i="4"/>
  <c r="BH62" i="4"/>
  <c r="BG62" i="4"/>
  <c r="BF62" i="4"/>
  <c r="BE62" i="4"/>
  <c r="AV62" i="4"/>
  <c r="AT62" i="4"/>
  <c r="AS62" i="4"/>
  <c r="AR62" i="4"/>
  <c r="AO62" i="4"/>
  <c r="BJ62" i="4"/>
  <c r="AN62" i="4"/>
  <c r="AA62" i="4"/>
  <c r="W62" i="4"/>
  <c r="Y62" i="4"/>
  <c r="U62" i="4"/>
  <c r="T62" i="4"/>
  <c r="S62" i="4"/>
  <c r="R62" i="4"/>
  <c r="CJ62" i="4"/>
  <c r="J62" i="4"/>
  <c r="AX62" i="4"/>
  <c r="H62" i="4"/>
  <c r="BL62" i="4"/>
  <c r="G62" i="4"/>
  <c r="F62" i="4"/>
  <c r="CB61" i="4"/>
  <c r="BY61" i="4"/>
  <c r="BX61" i="4"/>
  <c r="BW61" i="4"/>
  <c r="BV61" i="4"/>
  <c r="BU61" i="4"/>
  <c r="BT61" i="4"/>
  <c r="BS61" i="4"/>
  <c r="BR61" i="4"/>
  <c r="BM61" i="4"/>
  <c r="BN61" i="4"/>
  <c r="BH61" i="4"/>
  <c r="BG61" i="4"/>
  <c r="BF61" i="4"/>
  <c r="BE61" i="4"/>
  <c r="AV61" i="4"/>
  <c r="AT61" i="4"/>
  <c r="AS61" i="4"/>
  <c r="AR61" i="4"/>
  <c r="AO61" i="4"/>
  <c r="BJ61" i="4"/>
  <c r="AA61" i="4"/>
  <c r="W61" i="4"/>
  <c r="Y61" i="4"/>
  <c r="U61" i="4"/>
  <c r="T61" i="4"/>
  <c r="S61" i="4"/>
  <c r="R61" i="4"/>
  <c r="H61" i="4"/>
  <c r="BL61" i="4"/>
  <c r="G61" i="4"/>
  <c r="F61" i="4"/>
  <c r="CB60" i="4"/>
  <c r="BY60" i="4"/>
  <c r="BX60" i="4"/>
  <c r="BW60" i="4"/>
  <c r="BV60" i="4"/>
  <c r="BU60" i="4"/>
  <c r="BT60" i="4"/>
  <c r="BS60" i="4"/>
  <c r="BR60" i="4"/>
  <c r="BM60" i="4"/>
  <c r="BN60" i="4"/>
  <c r="BH60" i="4"/>
  <c r="BG60" i="4"/>
  <c r="BF60" i="4"/>
  <c r="BE60" i="4"/>
  <c r="BI60" i="4"/>
  <c r="AV60" i="4"/>
  <c r="AS60" i="4"/>
  <c r="AO60" i="4"/>
  <c r="BJ60" i="4"/>
  <c r="AN60" i="4"/>
  <c r="AA60" i="4"/>
  <c r="U60" i="4"/>
  <c r="T60" i="4"/>
  <c r="S60" i="4"/>
  <c r="R60" i="4"/>
  <c r="L60" i="4"/>
  <c r="AT60" i="4"/>
  <c r="H60" i="4"/>
  <c r="BL60" i="4"/>
  <c r="F60" i="4"/>
  <c r="CN59" i="4"/>
  <c r="AP59" i="4"/>
  <c r="AM59" i="4"/>
  <c r="AM57" i="4"/>
  <c r="AL59" i="4"/>
  <c r="AL57" i="4"/>
  <c r="AK59" i="4"/>
  <c r="AJ59" i="4"/>
  <c r="AI59" i="4"/>
  <c r="AI57" i="4"/>
  <c r="BF57" i="4"/>
  <c r="AH59" i="4"/>
  <c r="AH57" i="4"/>
  <c r="AG59" i="4"/>
  <c r="AF59" i="4"/>
  <c r="AE59" i="4"/>
  <c r="AE57" i="4"/>
  <c r="AD59" i="4"/>
  <c r="AD57" i="4"/>
  <c r="AC59" i="4"/>
  <c r="AC57" i="4"/>
  <c r="AB59" i="4"/>
  <c r="Z59" i="4"/>
  <c r="X59" i="4"/>
  <c r="X57" i="4"/>
  <c r="V59" i="4"/>
  <c r="V57" i="4"/>
  <c r="V56" i="4"/>
  <c r="V20" i="4"/>
  <c r="O59" i="4"/>
  <c r="O57" i="4"/>
  <c r="N59" i="4"/>
  <c r="M59" i="4"/>
  <c r="M57" i="4"/>
  <c r="K59" i="4"/>
  <c r="K57" i="4"/>
  <c r="CJ58" i="4"/>
  <c r="CB58" i="4"/>
  <c r="BM58" i="4"/>
  <c r="BN58" i="4"/>
  <c r="BH58" i="4"/>
  <c r="BG58" i="4"/>
  <c r="BF58" i="4"/>
  <c r="BE58" i="4"/>
  <c r="AV58" i="4"/>
  <c r="AS58" i="4"/>
  <c r="AR58" i="4"/>
  <c r="AO58" i="4"/>
  <c r="AA58" i="4"/>
  <c r="CN57" i="4"/>
  <c r="AJ57" i="4"/>
  <c r="AF57" i="4"/>
  <c r="AB57" i="4"/>
  <c r="Z57" i="4"/>
  <c r="N57" i="4"/>
  <c r="CJ55" i="4"/>
  <c r="CB55" i="4"/>
  <c r="BM55" i="4"/>
  <c r="BN55" i="4"/>
  <c r="BH55" i="4"/>
  <c r="BG55" i="4"/>
  <c r="BF55" i="4"/>
  <c r="BE55" i="4"/>
  <c r="AV55" i="4"/>
  <c r="AS55" i="4"/>
  <c r="AR55" i="4"/>
  <c r="AO55" i="4"/>
  <c r="AA55" i="4"/>
  <c r="CB54" i="4"/>
  <c r="BY54" i="4"/>
  <c r="BX54" i="4"/>
  <c r="BW54" i="4"/>
  <c r="BV54" i="4"/>
  <c r="BU54" i="4"/>
  <c r="BT54" i="4"/>
  <c r="BS54" i="4"/>
  <c r="BR54" i="4"/>
  <c r="BM54" i="4"/>
  <c r="BN54" i="4"/>
  <c r="BH54" i="4"/>
  <c r="BG54" i="4"/>
  <c r="BF54" i="4"/>
  <c r="BE54" i="4"/>
  <c r="AX54" i="4"/>
  <c r="AV54" i="4"/>
  <c r="AS54" i="4"/>
  <c r="AO54" i="4"/>
  <c r="BJ54" i="4"/>
  <c r="AN54" i="4"/>
  <c r="AA54" i="4"/>
  <c r="U54" i="4"/>
  <c r="T54" i="4"/>
  <c r="S54" i="4"/>
  <c r="CJ54" i="4"/>
  <c r="R54" i="4"/>
  <c r="L54" i="4"/>
  <c r="W54" i="4"/>
  <c r="H54" i="4"/>
  <c r="BL54" i="4"/>
  <c r="F54" i="4"/>
  <c r="CB53" i="4"/>
  <c r="BY53" i="4"/>
  <c r="BX53" i="4"/>
  <c r="BW53" i="4"/>
  <c r="BV53" i="4"/>
  <c r="BU53" i="4"/>
  <c r="BT53" i="4"/>
  <c r="BS53" i="4"/>
  <c r="BR53" i="4"/>
  <c r="BM53" i="4"/>
  <c r="BN53" i="4"/>
  <c r="BL53" i="4"/>
  <c r="BH53" i="4"/>
  <c r="BG53" i="4"/>
  <c r="BF53" i="4"/>
  <c r="BE53" i="4"/>
  <c r="AX53" i="4"/>
  <c r="AV53" i="4"/>
  <c r="AT53" i="4"/>
  <c r="AS53" i="4"/>
  <c r="AR53" i="4"/>
  <c r="AO53" i="4"/>
  <c r="AO52" i="4"/>
  <c r="AO51" i="4"/>
  <c r="AN53" i="4"/>
  <c r="AA53" i="4"/>
  <c r="W53" i="4"/>
  <c r="Y53" i="4"/>
  <c r="U53" i="4"/>
  <c r="U52" i="4"/>
  <c r="T53" i="4"/>
  <c r="S53" i="4"/>
  <c r="R53" i="4"/>
  <c r="R52" i="4"/>
  <c r="R51" i="4"/>
  <c r="P53" i="4"/>
  <c r="P52" i="4"/>
  <c r="P51" i="4"/>
  <c r="H53" i="4"/>
  <c r="G53" i="4"/>
  <c r="F53" i="4"/>
  <c r="CN52" i="4"/>
  <c r="CN51" i="4"/>
  <c r="BG52" i="4"/>
  <c r="AM52" i="4"/>
  <c r="AM51" i="4"/>
  <c r="BH51" i="4"/>
  <c r="AL52" i="4"/>
  <c r="AL51" i="4"/>
  <c r="AK52" i="4"/>
  <c r="AJ52" i="4"/>
  <c r="AJ51" i="4"/>
  <c r="AI52" i="4"/>
  <c r="BF52" i="4"/>
  <c r="AH52" i="4"/>
  <c r="AH51" i="4"/>
  <c r="AG52" i="4"/>
  <c r="BE52" i="4"/>
  <c r="AF52" i="4"/>
  <c r="AF51" i="4"/>
  <c r="AE52" i="4"/>
  <c r="AE51" i="4"/>
  <c r="AD52" i="4"/>
  <c r="AD51" i="4"/>
  <c r="AC52" i="4"/>
  <c r="AB52" i="4"/>
  <c r="AB51" i="4"/>
  <c r="AA52" i="4"/>
  <c r="AA51" i="4"/>
  <c r="Z52" i="4"/>
  <c r="Z51" i="4"/>
  <c r="X52" i="4"/>
  <c r="X51" i="4"/>
  <c r="V52" i="4"/>
  <c r="V51" i="4"/>
  <c r="T52" i="4"/>
  <c r="T51" i="4"/>
  <c r="Q52" i="4"/>
  <c r="O52" i="4"/>
  <c r="N52" i="4"/>
  <c r="N51" i="4"/>
  <c r="M52" i="4"/>
  <c r="L52" i="4"/>
  <c r="L51" i="4"/>
  <c r="K52" i="4"/>
  <c r="AS52" i="4"/>
  <c r="J52" i="4"/>
  <c r="J51" i="4"/>
  <c r="AK51" i="4"/>
  <c r="BG51" i="4"/>
  <c r="AI51" i="4"/>
  <c r="BF51" i="4"/>
  <c r="AG51" i="4"/>
  <c r="BE51" i="4"/>
  <c r="AC51" i="4"/>
  <c r="U51" i="4"/>
  <c r="Q51" i="4"/>
  <c r="O51" i="4"/>
  <c r="M51" i="4"/>
  <c r="CB50" i="4"/>
  <c r="BY50" i="4"/>
  <c r="BX50" i="4"/>
  <c r="BW50" i="4"/>
  <c r="BV50" i="4"/>
  <c r="BU50" i="4"/>
  <c r="BT50" i="4"/>
  <c r="BS50" i="4"/>
  <c r="BR50" i="4"/>
  <c r="BM50" i="4"/>
  <c r="BN50" i="4"/>
  <c r="BH50" i="4"/>
  <c r="BG50" i="4"/>
  <c r="BF50" i="4"/>
  <c r="BE50" i="4"/>
  <c r="AV50" i="4"/>
  <c r="AS50" i="4"/>
  <c r="AO50" i="4"/>
  <c r="BJ50" i="4"/>
  <c r="AN50" i="4"/>
  <c r="AN49" i="4"/>
  <c r="AN46" i="4"/>
  <c r="AA50" i="4"/>
  <c r="U50" i="4"/>
  <c r="U49" i="4"/>
  <c r="U46" i="4"/>
  <c r="T50" i="4"/>
  <c r="S50" i="4"/>
  <c r="R50" i="4"/>
  <c r="R49" i="4"/>
  <c r="R46" i="4"/>
  <c r="L50" i="4"/>
  <c r="AR50" i="4"/>
  <c r="J50" i="4"/>
  <c r="AX50" i="4"/>
  <c r="H50" i="4"/>
  <c r="BL50" i="4"/>
  <c r="F50" i="4"/>
  <c r="AM49" i="4"/>
  <c r="AM46" i="4"/>
  <c r="AL49" i="4"/>
  <c r="AK49" i="4"/>
  <c r="AJ49" i="4"/>
  <c r="AI49" i="4"/>
  <c r="AI46" i="4"/>
  <c r="AH49" i="4"/>
  <c r="AG49" i="4"/>
  <c r="AF49" i="4"/>
  <c r="AE49" i="4"/>
  <c r="AE46" i="4"/>
  <c r="AD49" i="4"/>
  <c r="AD46" i="4"/>
  <c r="AC49" i="4"/>
  <c r="AB49" i="4"/>
  <c r="AA49" i="4"/>
  <c r="Z49" i="4"/>
  <c r="X49" i="4"/>
  <c r="V49" i="4"/>
  <c r="T49" i="4"/>
  <c r="S49" i="4"/>
  <c r="Q49" i="4"/>
  <c r="P49" i="4"/>
  <c r="O49" i="4"/>
  <c r="N49" i="4"/>
  <c r="M49" i="4"/>
  <c r="K49" i="4"/>
  <c r="J49" i="4"/>
  <c r="I49" i="4"/>
  <c r="BM48" i="4"/>
  <c r="BM47" i="4"/>
  <c r="AL46" i="4"/>
  <c r="AK46" i="4"/>
  <c r="AJ46" i="4"/>
  <c r="AH46" i="4"/>
  <c r="AG46" i="4"/>
  <c r="AF46" i="4"/>
  <c r="AC46" i="4"/>
  <c r="AB46" i="4"/>
  <c r="AA46" i="4"/>
  <c r="Z46" i="4"/>
  <c r="X46" i="4"/>
  <c r="V46" i="4"/>
  <c r="T46" i="4"/>
  <c r="S46" i="4"/>
  <c r="Q46" i="4"/>
  <c r="P46" i="4"/>
  <c r="O46" i="4"/>
  <c r="N46" i="4"/>
  <c r="M46" i="4"/>
  <c r="K46" i="4"/>
  <c r="J46" i="4"/>
  <c r="CB45" i="4"/>
  <c r="BY45" i="4"/>
  <c r="BX45" i="4"/>
  <c r="BW45" i="4"/>
  <c r="BV45" i="4"/>
  <c r="BU45" i="4"/>
  <c r="BT45" i="4"/>
  <c r="BS45" i="4"/>
  <c r="BR45" i="4"/>
  <c r="BM45" i="4"/>
  <c r="BN45" i="4"/>
  <c r="BH45" i="4"/>
  <c r="BG45" i="4"/>
  <c r="BF45" i="4"/>
  <c r="BE45" i="4"/>
  <c r="AV45" i="4"/>
  <c r="AT45" i="4"/>
  <c r="AS45" i="4"/>
  <c r="AO45" i="4"/>
  <c r="BJ45" i="4"/>
  <c r="AN45" i="4"/>
  <c r="AA45" i="4"/>
  <c r="U45" i="4"/>
  <c r="T45" i="4"/>
  <c r="S45" i="4"/>
  <c r="R45" i="4"/>
  <c r="L45" i="4"/>
  <c r="W45" i="4"/>
  <c r="Y45" i="4"/>
  <c r="CB44" i="4"/>
  <c r="BY44" i="4"/>
  <c r="BX44" i="4"/>
  <c r="BW44" i="4"/>
  <c r="BV44" i="4"/>
  <c r="BU44" i="4"/>
  <c r="BT44" i="4"/>
  <c r="BS44" i="4"/>
  <c r="BR44" i="4"/>
  <c r="BM44" i="4"/>
  <c r="BN44" i="4"/>
  <c r="BJ44" i="4"/>
  <c r="BH44" i="4"/>
  <c r="BG44" i="4"/>
  <c r="BF44" i="4"/>
  <c r="BE44" i="4"/>
  <c r="AV44" i="4"/>
  <c r="AS44" i="4"/>
  <c r="AO44" i="4"/>
  <c r="AN44" i="4"/>
  <c r="AA44" i="4"/>
  <c r="U44" i="4"/>
  <c r="T44" i="4"/>
  <c r="T41" i="4"/>
  <c r="S44" i="4"/>
  <c r="R44" i="4"/>
  <c r="L44" i="4"/>
  <c r="AR44" i="4"/>
  <c r="BN43" i="4"/>
  <c r="BM43" i="4"/>
  <c r="AO43" i="4"/>
  <c r="AN43" i="4"/>
  <c r="AA43" i="4"/>
  <c r="U43" i="4"/>
  <c r="T43" i="4"/>
  <c r="S43" i="4"/>
  <c r="R43" i="4"/>
  <c r="L43" i="4"/>
  <c r="G43" i="4"/>
  <c r="H43" i="4"/>
  <c r="F43" i="4"/>
  <c r="CB42" i="4"/>
  <c r="BY42" i="4"/>
  <c r="BX42" i="4"/>
  <c r="BW42" i="4"/>
  <c r="BV42" i="4"/>
  <c r="BU42" i="4"/>
  <c r="BT42" i="4"/>
  <c r="BS42" i="4"/>
  <c r="BR42" i="4"/>
  <c r="BM42" i="4"/>
  <c r="BN42" i="4"/>
  <c r="BH42" i="4"/>
  <c r="BG42" i="4"/>
  <c r="BF42" i="4"/>
  <c r="BE42" i="4"/>
  <c r="AV42" i="4"/>
  <c r="AS42" i="4"/>
  <c r="AO42" i="4"/>
  <c r="AN42" i="4"/>
  <c r="AA42" i="4"/>
  <c r="W42" i="4"/>
  <c r="U42" i="4"/>
  <c r="T42" i="4"/>
  <c r="S42" i="4"/>
  <c r="R42" i="4"/>
  <c r="CJ42" i="4"/>
  <c r="L42" i="4"/>
  <c r="AR42" i="4"/>
  <c r="BU41" i="4"/>
  <c r="AM41" i="4"/>
  <c r="BX41" i="4"/>
  <c r="AL41" i="4"/>
  <c r="AK41" i="4"/>
  <c r="BW41" i="4"/>
  <c r="AJ41" i="4"/>
  <c r="AI41" i="4"/>
  <c r="BF41" i="4"/>
  <c r="AH41" i="4"/>
  <c r="AG41" i="4"/>
  <c r="BE41" i="4"/>
  <c r="AF41" i="4"/>
  <c r="AE41" i="4"/>
  <c r="BT41" i="4"/>
  <c r="AD41" i="4"/>
  <c r="AC41" i="4"/>
  <c r="BS41" i="4"/>
  <c r="AB41" i="4"/>
  <c r="Z41" i="4"/>
  <c r="X41" i="4"/>
  <c r="V41" i="4"/>
  <c r="Q41" i="4"/>
  <c r="CB41" i="4"/>
  <c r="P41" i="4"/>
  <c r="O41" i="4"/>
  <c r="N41" i="4"/>
  <c r="M41" i="4"/>
  <c r="K41" i="4"/>
  <c r="BR41" i="4"/>
  <c r="J41" i="4"/>
  <c r="CB40" i="4"/>
  <c r="BY40" i="4"/>
  <c r="BX40" i="4"/>
  <c r="BW40" i="4"/>
  <c r="BV40" i="4"/>
  <c r="BU40" i="4"/>
  <c r="BT40" i="4"/>
  <c r="BS40" i="4"/>
  <c r="BR40" i="4"/>
  <c r="BM40" i="4"/>
  <c r="BN40" i="4"/>
  <c r="BH40" i="4"/>
  <c r="BG40" i="4"/>
  <c r="BF40" i="4"/>
  <c r="BE40" i="4"/>
  <c r="AV40" i="4"/>
  <c r="AS40" i="4"/>
  <c r="AO40" i="4"/>
  <c r="BJ40" i="4"/>
  <c r="AN40" i="4"/>
  <c r="AN39" i="4"/>
  <c r="AA40" i="4"/>
  <c r="U40" i="4"/>
  <c r="T40" i="4"/>
  <c r="S40" i="4"/>
  <c r="R40" i="4"/>
  <c r="R39" i="4"/>
  <c r="L40" i="4"/>
  <c r="AT40" i="4"/>
  <c r="J40" i="4"/>
  <c r="H40" i="4"/>
  <c r="F40" i="4"/>
  <c r="BH39" i="4"/>
  <c r="AM39" i="4"/>
  <c r="BX39" i="4"/>
  <c r="AL39" i="4"/>
  <c r="AK39" i="4"/>
  <c r="BG39" i="4"/>
  <c r="AJ39" i="4"/>
  <c r="AI39" i="4"/>
  <c r="BV39" i="4"/>
  <c r="AH39" i="4"/>
  <c r="AG39" i="4"/>
  <c r="BE39" i="4"/>
  <c r="AF39" i="4"/>
  <c r="AE39" i="4"/>
  <c r="BT39" i="4"/>
  <c r="AD39" i="4"/>
  <c r="AC39" i="4"/>
  <c r="AB39" i="4"/>
  <c r="AB35" i="4"/>
  <c r="AB34" i="4"/>
  <c r="AB26" i="4"/>
  <c r="AB19" i="4"/>
  <c r="AA39" i="4"/>
  <c r="Z39" i="4"/>
  <c r="Z35" i="4"/>
  <c r="Z34" i="4"/>
  <c r="Z26" i="4"/>
  <c r="Z19" i="4"/>
  <c r="X39" i="4"/>
  <c r="V39" i="4"/>
  <c r="U39" i="4"/>
  <c r="T39" i="4"/>
  <c r="Q39" i="4"/>
  <c r="P39" i="4"/>
  <c r="O39" i="4"/>
  <c r="N39" i="4"/>
  <c r="M39" i="4"/>
  <c r="K39" i="4"/>
  <c r="BY39" i="4"/>
  <c r="J39" i="4"/>
  <c r="CB38" i="4"/>
  <c r="BY38" i="4"/>
  <c r="BX38" i="4"/>
  <c r="BW38" i="4"/>
  <c r="BV38" i="4"/>
  <c r="BU38" i="4"/>
  <c r="BT38" i="4"/>
  <c r="BS38" i="4"/>
  <c r="BR38" i="4"/>
  <c r="BM38" i="4"/>
  <c r="BN38" i="4"/>
  <c r="BH38" i="4"/>
  <c r="BG38" i="4"/>
  <c r="BF38" i="4"/>
  <c r="BE38" i="4"/>
  <c r="AV38" i="4"/>
  <c r="AS38" i="4"/>
  <c r="AO38" i="4"/>
  <c r="AN38" i="4"/>
  <c r="AN35" i="4"/>
  <c r="AA38" i="4"/>
  <c r="U38" i="4"/>
  <c r="T38" i="4"/>
  <c r="S38" i="4"/>
  <c r="R38" i="4"/>
  <c r="CJ38" i="4"/>
  <c r="L38" i="4"/>
  <c r="W38" i="4"/>
  <c r="Y38" i="4"/>
  <c r="J38" i="4"/>
  <c r="CB37" i="4"/>
  <c r="BY37" i="4"/>
  <c r="BX37" i="4"/>
  <c r="BW37" i="4"/>
  <c r="BV37" i="4"/>
  <c r="BU37" i="4"/>
  <c r="BT37" i="4"/>
  <c r="BS37" i="4"/>
  <c r="BR37" i="4"/>
  <c r="BM37" i="4"/>
  <c r="BN37" i="4"/>
  <c r="BH37" i="4"/>
  <c r="BG37" i="4"/>
  <c r="BF37" i="4"/>
  <c r="BE37" i="4"/>
  <c r="AV37" i="4"/>
  <c r="AS37" i="4"/>
  <c r="AR37" i="4"/>
  <c r="AO37" i="4"/>
  <c r="BJ37" i="4"/>
  <c r="AA37" i="4"/>
  <c r="AA36" i="4"/>
  <c r="U37" i="4"/>
  <c r="U36" i="4"/>
  <c r="U35" i="4"/>
  <c r="T37" i="4"/>
  <c r="T36" i="4"/>
  <c r="T35" i="4"/>
  <c r="T34" i="4"/>
  <c r="S37" i="4"/>
  <c r="R37" i="4"/>
  <c r="L37" i="4"/>
  <c r="AT37" i="4"/>
  <c r="J37" i="4"/>
  <c r="J36" i="4"/>
  <c r="J35" i="4"/>
  <c r="J34" i="4"/>
  <c r="J26" i="4"/>
  <c r="J19" i="4"/>
  <c r="H37" i="4"/>
  <c r="F37" i="4"/>
  <c r="AM36" i="4"/>
  <c r="BH36" i="4"/>
  <c r="AL36" i="4"/>
  <c r="AL35" i="4"/>
  <c r="AL34" i="4"/>
  <c r="AK36" i="4"/>
  <c r="AJ36" i="4"/>
  <c r="AI36" i="4"/>
  <c r="AH36" i="4"/>
  <c r="AG36" i="4"/>
  <c r="AG35" i="4"/>
  <c r="AG34" i="4"/>
  <c r="AF36" i="4"/>
  <c r="AE36" i="4"/>
  <c r="AD36" i="4"/>
  <c r="AC36" i="4"/>
  <c r="BS36" i="4"/>
  <c r="AB36" i="4"/>
  <c r="Z36" i="4"/>
  <c r="X36" i="4"/>
  <c r="V36" i="4"/>
  <c r="S36" i="4"/>
  <c r="R36" i="4"/>
  <c r="R35" i="4"/>
  <c r="Q36" i="4"/>
  <c r="P36" i="4"/>
  <c r="O36" i="4"/>
  <c r="N36" i="4"/>
  <c r="M36" i="4"/>
  <c r="K36" i="4"/>
  <c r="AJ35" i="4"/>
  <c r="AH35" i="4"/>
  <c r="AH34" i="4"/>
  <c r="X35" i="4"/>
  <c r="V35" i="4"/>
  <c r="P35" i="4"/>
  <c r="N35" i="4"/>
  <c r="N34" i="4"/>
  <c r="N26" i="4"/>
  <c r="N19" i="4"/>
  <c r="CN34" i="4"/>
  <c r="CJ33" i="4"/>
  <c r="CB33" i="4"/>
  <c r="BM33" i="4"/>
  <c r="BN33" i="4"/>
  <c r="BH33" i="4"/>
  <c r="BG33" i="4"/>
  <c r="BF33" i="4"/>
  <c r="BE33" i="4"/>
  <c r="AV33" i="4"/>
  <c r="AS33" i="4"/>
  <c r="AR33" i="4"/>
  <c r="AA33" i="4"/>
  <c r="CJ32" i="4"/>
  <c r="CB32" i="4"/>
  <c r="BN32" i="4"/>
  <c r="BM32" i="4"/>
  <c r="BH32" i="4"/>
  <c r="BG32" i="4"/>
  <c r="BF32" i="4"/>
  <c r="BE32" i="4"/>
  <c r="AV32" i="4"/>
  <c r="AS32" i="4"/>
  <c r="AR32" i="4"/>
  <c r="AA32" i="4"/>
  <c r="CN31" i="4"/>
  <c r="AO31" i="4"/>
  <c r="AN31" i="4"/>
  <c r="AM31" i="4"/>
  <c r="BH31" i="4"/>
  <c r="AL31" i="4"/>
  <c r="AK31" i="4"/>
  <c r="BG31" i="4"/>
  <c r="AJ31" i="4"/>
  <c r="AI31" i="4"/>
  <c r="BF31" i="4"/>
  <c r="AH31" i="4"/>
  <c r="AG31" i="4"/>
  <c r="BE31" i="4"/>
  <c r="BI31" i="4"/>
  <c r="AF31" i="4"/>
  <c r="AE31" i="4"/>
  <c r="AD31" i="4"/>
  <c r="AC31" i="4"/>
  <c r="AB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AR31" i="4"/>
  <c r="K31" i="4"/>
  <c r="J31" i="4"/>
  <c r="CB30" i="4"/>
  <c r="BY30" i="4"/>
  <c r="BX30" i="4"/>
  <c r="BW30" i="4"/>
  <c r="BV30" i="4"/>
  <c r="BU30" i="4"/>
  <c r="BT30" i="4"/>
  <c r="BS30" i="4"/>
  <c r="BR30" i="4"/>
  <c r="BM30" i="4"/>
  <c r="BN30" i="4"/>
  <c r="BH30" i="4"/>
  <c r="BG30" i="4"/>
  <c r="BF30" i="4"/>
  <c r="BE30" i="4"/>
  <c r="AV30" i="4"/>
  <c r="AS30" i="4"/>
  <c r="AO30" i="4"/>
  <c r="BJ30" i="4"/>
  <c r="AN30" i="4"/>
  <c r="AA30" i="4"/>
  <c r="U30" i="4"/>
  <c r="T30" i="4"/>
  <c r="S30" i="4"/>
  <c r="R30" i="4"/>
  <c r="L30" i="4"/>
  <c r="AR30" i="4"/>
  <c r="H30" i="4"/>
  <c r="BL30" i="4"/>
  <c r="F30" i="4"/>
  <c r="CB29" i="4"/>
  <c r="BY29" i="4"/>
  <c r="BX29" i="4"/>
  <c r="BW29" i="4"/>
  <c r="BV29" i="4"/>
  <c r="BU29" i="4"/>
  <c r="BT29" i="4"/>
  <c r="BS29" i="4"/>
  <c r="BR29" i="4"/>
  <c r="BM29" i="4"/>
  <c r="BN29" i="4"/>
  <c r="BH29" i="4"/>
  <c r="BG29" i="4"/>
  <c r="BF29" i="4"/>
  <c r="BE29" i="4"/>
  <c r="AV29" i="4"/>
  <c r="AS29" i="4"/>
  <c r="AO29" i="4"/>
  <c r="BJ29" i="4"/>
  <c r="AN29" i="4"/>
  <c r="AA29" i="4"/>
  <c r="U29" i="4"/>
  <c r="T29" i="4"/>
  <c r="S29" i="4"/>
  <c r="R29" i="4"/>
  <c r="L29" i="4"/>
  <c r="AR29" i="4"/>
  <c r="H29" i="4"/>
  <c r="BL29" i="4"/>
  <c r="F29" i="4"/>
  <c r="CB28" i="4"/>
  <c r="BY28" i="4"/>
  <c r="BX28" i="4"/>
  <c r="BW28" i="4"/>
  <c r="BV28" i="4"/>
  <c r="BU28" i="4"/>
  <c r="BT28" i="4"/>
  <c r="BS28" i="4"/>
  <c r="BR28" i="4"/>
  <c r="BM28" i="4"/>
  <c r="BN28" i="4"/>
  <c r="BH28" i="4"/>
  <c r="BG28" i="4"/>
  <c r="BF28" i="4"/>
  <c r="BE28" i="4"/>
  <c r="AV28" i="4"/>
  <c r="AS28" i="4"/>
  <c r="AN28" i="4"/>
  <c r="AA27" i="4"/>
  <c r="T28" i="4"/>
  <c r="T27" i="4"/>
  <c r="L28" i="4"/>
  <c r="AT28" i="4"/>
  <c r="H28" i="4"/>
  <c r="BL28" i="4"/>
  <c r="F28" i="4"/>
  <c r="CN27" i="4"/>
  <c r="CN26" i="4"/>
  <c r="CN19" i="4"/>
  <c r="BE27" i="4"/>
  <c r="AM27" i="4"/>
  <c r="AL27" i="4"/>
  <c r="AK27" i="4"/>
  <c r="BG27" i="4"/>
  <c r="AJ27" i="4"/>
  <c r="AI27" i="4"/>
  <c r="AH27" i="4"/>
  <c r="AG27" i="4"/>
  <c r="AF27" i="4"/>
  <c r="AE27" i="4"/>
  <c r="AD27" i="4"/>
  <c r="AC27" i="4"/>
  <c r="AB27" i="4"/>
  <c r="Z27" i="4"/>
  <c r="X27" i="4"/>
  <c r="V27" i="4"/>
  <c r="Q27" i="4"/>
  <c r="P27" i="4"/>
  <c r="O27" i="4"/>
  <c r="N27" i="4"/>
  <c r="M27" i="4"/>
  <c r="K27" i="4"/>
  <c r="J27" i="4"/>
  <c r="I25" i="4"/>
  <c r="CN24" i="4"/>
  <c r="AM24" i="4"/>
  <c r="BH24" i="4"/>
  <c r="AL24" i="4"/>
  <c r="AK24" i="4"/>
  <c r="BG24" i="4"/>
  <c r="AJ24" i="4"/>
  <c r="AH24" i="4"/>
  <c r="AG24" i="4"/>
  <c r="BE24" i="4"/>
  <c r="AF24" i="4"/>
  <c r="AE24" i="4"/>
  <c r="AC24" i="4"/>
  <c r="AB24" i="4"/>
  <c r="Z24" i="4"/>
  <c r="X24" i="4"/>
  <c r="V24" i="4"/>
  <c r="Q24" i="4"/>
  <c r="P24" i="4"/>
  <c r="O24" i="4"/>
  <c r="N24" i="4"/>
  <c r="M24" i="4"/>
  <c r="K24" i="4"/>
  <c r="I24" i="4"/>
  <c r="CN23" i="4"/>
  <c r="AO23" i="4"/>
  <c r="AN23" i="4"/>
  <c r="AM23" i="4"/>
  <c r="BH23" i="4"/>
  <c r="AL23" i="4"/>
  <c r="AK23" i="4"/>
  <c r="BG23" i="4"/>
  <c r="AJ23" i="4"/>
  <c r="AI23" i="4"/>
  <c r="BF23" i="4"/>
  <c r="AH23" i="4"/>
  <c r="AG23" i="4"/>
  <c r="BE23" i="4"/>
  <c r="AF23" i="4"/>
  <c r="AE23" i="4"/>
  <c r="AD23" i="4"/>
  <c r="AC23" i="4"/>
  <c r="AB23" i="4"/>
  <c r="AA23" i="4"/>
  <c r="Z23" i="4"/>
  <c r="X23" i="4"/>
  <c r="V23" i="4"/>
  <c r="U23" i="4"/>
  <c r="T23" i="4"/>
  <c r="S23" i="4"/>
  <c r="R23" i="4"/>
  <c r="Q23" i="4"/>
  <c r="AS23" i="4"/>
  <c r="P23" i="4"/>
  <c r="O23" i="4"/>
  <c r="N23" i="4"/>
  <c r="M23" i="4"/>
  <c r="L23" i="4"/>
  <c r="AR23" i="4"/>
  <c r="K23" i="4"/>
  <c r="J23" i="4"/>
  <c r="I23" i="4"/>
  <c r="CN22" i="4"/>
  <c r="AO22" i="4"/>
  <c r="AM22" i="4"/>
  <c r="BH22" i="4"/>
  <c r="AL22" i="4"/>
  <c r="AK22" i="4"/>
  <c r="BG22" i="4"/>
  <c r="AJ22" i="4"/>
  <c r="AI22" i="4"/>
  <c r="BF22" i="4"/>
  <c r="AH22" i="4"/>
  <c r="AG22" i="4"/>
  <c r="BE22" i="4"/>
  <c r="BI22" i="4"/>
  <c r="AF22" i="4"/>
  <c r="AE22" i="4"/>
  <c r="AD22" i="4"/>
  <c r="AC22" i="4"/>
  <c r="AB22" i="4"/>
  <c r="AA22" i="4"/>
  <c r="Z22" i="4"/>
  <c r="X22" i="4"/>
  <c r="V22" i="4"/>
  <c r="Q22" i="4"/>
  <c r="O22" i="4"/>
  <c r="N22" i="4"/>
  <c r="M22" i="4"/>
  <c r="K22" i="4"/>
  <c r="I22" i="4"/>
  <c r="AH21" i="4"/>
  <c r="AC21" i="4"/>
  <c r="Z21" i="4"/>
  <c r="X21" i="4"/>
  <c r="Q21" i="4"/>
  <c r="O21" i="4"/>
  <c r="K21" i="4"/>
  <c r="I21" i="4"/>
  <c r="I20" i="4"/>
  <c r="I19" i="4"/>
  <c r="AJ26" i="4"/>
  <c r="AJ19" i="4"/>
  <c r="CN18" i="4"/>
  <c r="CN25" i="4"/>
  <c r="AR28" i="4"/>
  <c r="CJ31" i="4"/>
  <c r="AS31" i="4"/>
  <c r="BM41" i="4"/>
  <c r="BN41" i="4"/>
  <c r="AO49" i="4"/>
  <c r="AO46" i="4"/>
  <c r="N56" i="4"/>
  <c r="N20" i="4"/>
  <c r="BH41" i="4"/>
  <c r="W28" i="4"/>
  <c r="Y28" i="4"/>
  <c r="CJ30" i="4"/>
  <c r="BZ30" i="4"/>
  <c r="BU36" i="4"/>
  <c r="BV41" i="4"/>
  <c r="AA41" i="4"/>
  <c r="AA34" i="4"/>
  <c r="BH52" i="4"/>
  <c r="Z56" i="4"/>
  <c r="Z20" i="4"/>
  <c r="Z18" i="4"/>
  <c r="AO146" i="4"/>
  <c r="BE146" i="4"/>
  <c r="BI146" i="4"/>
  <c r="CB189" i="4"/>
  <c r="AV189" i="4"/>
  <c r="AI188" i="4"/>
  <c r="BF189" i="4"/>
  <c r="BI189" i="4"/>
  <c r="AE35" i="4"/>
  <c r="AE34" i="4"/>
  <c r="AA35" i="4"/>
  <c r="AO39" i="4"/>
  <c r="V34" i="4"/>
  <c r="V26" i="4"/>
  <c r="V19" i="4"/>
  <c r="V18" i="4"/>
  <c r="V267" i="4"/>
  <c r="CJ44" i="4"/>
  <c r="W44" i="4"/>
  <c r="Y44" i="4"/>
  <c r="G78" i="4"/>
  <c r="W78" i="4"/>
  <c r="Y78" i="4"/>
  <c r="W85" i="4"/>
  <c r="Y85" i="4"/>
  <c r="AR85" i="4"/>
  <c r="CJ94" i="4"/>
  <c r="AR95" i="4"/>
  <c r="BZ97" i="4"/>
  <c r="W99" i="4"/>
  <c r="Y99" i="4"/>
  <c r="W101" i="4"/>
  <c r="Y101" i="4"/>
  <c r="O105" i="4"/>
  <c r="BF109" i="4"/>
  <c r="AR111" i="4"/>
  <c r="AV116" i="4"/>
  <c r="BZ121" i="4"/>
  <c r="CJ122" i="4"/>
  <c r="BI122" i="4"/>
  <c r="AT171" i="4"/>
  <c r="U171" i="4"/>
  <c r="W172" i="4"/>
  <c r="Y172" i="4"/>
  <c r="R172" i="4"/>
  <c r="G172" i="4"/>
  <c r="AM188" i="4"/>
  <c r="BM189" i="4"/>
  <c r="BN189" i="4"/>
  <c r="BZ28" i="4"/>
  <c r="AJ34" i="4"/>
  <c r="BI38" i="4"/>
  <c r="AR40" i="4"/>
  <c r="BI40" i="4"/>
  <c r="AX41" i="4"/>
  <c r="AT41" i="4"/>
  <c r="S41" i="4"/>
  <c r="W152" i="4"/>
  <c r="Y152" i="4"/>
  <c r="AT152" i="4"/>
  <c r="G152" i="4"/>
  <c r="AR152" i="4"/>
  <c r="AS22" i="4"/>
  <c r="R28" i="4"/>
  <c r="R27" i="4"/>
  <c r="O35" i="4"/>
  <c r="AR38" i="4"/>
  <c r="CB39" i="4"/>
  <c r="H41" i="4"/>
  <c r="BL41" i="4"/>
  <c r="BZ50" i="4"/>
  <c r="AV52" i="4"/>
  <c r="BM52" i="4"/>
  <c r="BN52" i="4"/>
  <c r="S52" i="4"/>
  <c r="S51" i="4"/>
  <c r="CJ51" i="4"/>
  <c r="P59" i="4"/>
  <c r="P57" i="4"/>
  <c r="CJ65" i="4"/>
  <c r="W65" i="4"/>
  <c r="Y65" i="4"/>
  <c r="BI68" i="4"/>
  <c r="BZ72" i="4"/>
  <c r="G28" i="4"/>
  <c r="S28" i="4"/>
  <c r="S27" i="4"/>
  <c r="AF35" i="4"/>
  <c r="AF34" i="4"/>
  <c r="AF26" i="4"/>
  <c r="AF19" i="4"/>
  <c r="AF18" i="4"/>
  <c r="CJ37" i="4"/>
  <c r="AV39" i="4"/>
  <c r="CJ40" i="4"/>
  <c r="F41" i="4"/>
  <c r="L41" i="4"/>
  <c r="U41" i="4"/>
  <c r="U34" i="4"/>
  <c r="W43" i="4"/>
  <c r="Y43" i="4"/>
  <c r="CJ50" i="4"/>
  <c r="K51" i="4"/>
  <c r="CB52" i="4"/>
  <c r="AR54" i="4"/>
  <c r="AF56" i="4"/>
  <c r="AF20" i="4"/>
  <c r="Q59" i="4"/>
  <c r="BZ63" i="4"/>
  <c r="CJ71" i="4"/>
  <c r="AR71" i="4"/>
  <c r="CJ79" i="4"/>
  <c r="BZ80" i="4"/>
  <c r="BI82" i="4"/>
  <c r="G85" i="4"/>
  <c r="CJ85" i="4"/>
  <c r="CJ92" i="4"/>
  <c r="G99" i="4"/>
  <c r="AR99" i="4"/>
  <c r="AF105" i="4"/>
  <c r="BI107" i="4"/>
  <c r="AV110" i="4"/>
  <c r="BM110" i="4"/>
  <c r="BN110" i="4"/>
  <c r="CB110" i="4"/>
  <c r="T111" i="4"/>
  <c r="AS111" i="4"/>
  <c r="R114" i="4"/>
  <c r="BM116" i="4"/>
  <c r="BN116" i="4"/>
  <c r="CJ120" i="4"/>
  <c r="BZ120" i="4"/>
  <c r="AS127" i="4"/>
  <c r="AV127" i="4"/>
  <c r="CJ129" i="4"/>
  <c r="AT132" i="4"/>
  <c r="G132" i="4"/>
  <c r="BZ133" i="4"/>
  <c r="CJ137" i="4"/>
  <c r="W137" i="4"/>
  <c r="Y137" i="4"/>
  <c r="N141" i="4"/>
  <c r="AO160" i="4"/>
  <c r="BM160" i="4"/>
  <c r="BN160" i="4"/>
  <c r="AS182" i="4"/>
  <c r="BY182" i="4"/>
  <c r="AV182" i="4"/>
  <c r="BG182" i="4"/>
  <c r="H182" i="4"/>
  <c r="BL182" i="4"/>
  <c r="BW182" i="4"/>
  <c r="AO182" i="4"/>
  <c r="BJ182" i="4"/>
  <c r="AK169" i="4"/>
  <c r="BG169" i="4"/>
  <c r="AR219" i="4"/>
  <c r="T219" i="4"/>
  <c r="AT221" i="4"/>
  <c r="T221" i="4"/>
  <c r="R221" i="4"/>
  <c r="G221" i="4"/>
  <c r="AR222" i="4"/>
  <c r="S222" i="4"/>
  <c r="BZ53" i="4"/>
  <c r="BZ54" i="4"/>
  <c r="CN56" i="4"/>
  <c r="CN20" i="4"/>
  <c r="AC56" i="4"/>
  <c r="AC20" i="4"/>
  <c r="BZ75" i="4"/>
  <c r="BZ76" i="4"/>
  <c r="G79" i="4"/>
  <c r="W83" i="4"/>
  <c r="Y83" i="4"/>
  <c r="AR88" i="4"/>
  <c r="BI91" i="4"/>
  <c r="G95" i="4"/>
  <c r="W96" i="4"/>
  <c r="Y96" i="4"/>
  <c r="AR96" i="4"/>
  <c r="W100" i="4"/>
  <c r="Y100" i="4"/>
  <c r="AB105" i="4"/>
  <c r="U109" i="4"/>
  <c r="AS109" i="4"/>
  <c r="F111" i="4"/>
  <c r="AO112" i="4"/>
  <c r="BJ112" i="4"/>
  <c r="CB112" i="4"/>
  <c r="AN116" i="4"/>
  <c r="AH105" i="4"/>
  <c r="BZ118" i="4"/>
  <c r="BI119" i="4"/>
  <c r="BF127" i="4"/>
  <c r="BI127" i="4"/>
  <c r="CJ131" i="4"/>
  <c r="BZ131" i="4"/>
  <c r="W132" i="4"/>
  <c r="Y132" i="4"/>
  <c r="AR132" i="4"/>
  <c r="BZ139" i="4"/>
  <c r="BM146" i="4"/>
  <c r="BN146" i="4"/>
  <c r="W147" i="4"/>
  <c r="Y147" i="4"/>
  <c r="G147" i="4"/>
  <c r="T147" i="4"/>
  <c r="U153" i="4"/>
  <c r="T153" i="4"/>
  <c r="AT153" i="4"/>
  <c r="S153" i="4"/>
  <c r="G153" i="4"/>
  <c r="R153" i="4"/>
  <c r="AR153" i="4"/>
  <c r="AV156" i="4"/>
  <c r="CB160" i="4"/>
  <c r="AR164" i="4"/>
  <c r="W164" i="4"/>
  <c r="Y164" i="4"/>
  <c r="AX198" i="4"/>
  <c r="J191" i="4"/>
  <c r="BZ155" i="4"/>
  <c r="AS158" i="4"/>
  <c r="AV160" i="4"/>
  <c r="L169" i="4"/>
  <c r="J188" i="4"/>
  <c r="J21" i="4"/>
  <c r="AB188" i="4"/>
  <c r="AB21" i="4"/>
  <c r="AF188" i="4"/>
  <c r="AF21" i="4"/>
  <c r="AJ188" i="4"/>
  <c r="AJ21" i="4"/>
  <c r="BZ200" i="4"/>
  <c r="BZ206" i="4"/>
  <c r="AT211" i="4"/>
  <c r="G211" i="4"/>
  <c r="AR211" i="4"/>
  <c r="W211" i="4"/>
  <c r="Y211" i="4"/>
  <c r="BZ213" i="4"/>
  <c r="BI222" i="4"/>
  <c r="BM224" i="4"/>
  <c r="BN224" i="4"/>
  <c r="H224" i="4"/>
  <c r="BL224" i="4"/>
  <c r="AI218" i="4"/>
  <c r="BY224" i="4"/>
  <c r="AT225" i="4"/>
  <c r="G225" i="4"/>
  <c r="S225" i="4"/>
  <c r="CJ133" i="4"/>
  <c r="CJ135" i="4"/>
  <c r="P141" i="4"/>
  <c r="AE141" i="4"/>
  <c r="AM141" i="4"/>
  <c r="BH141" i="4"/>
  <c r="W148" i="4"/>
  <c r="AR148" i="4"/>
  <c r="AN153" i="4"/>
  <c r="BI155" i="4"/>
  <c r="AS156" i="4"/>
  <c r="AH141" i="4"/>
  <c r="AL141" i="4"/>
  <c r="AO158" i="4"/>
  <c r="BZ159" i="4"/>
  <c r="BI160" i="4"/>
  <c r="BZ161" i="4"/>
  <c r="O56" i="4"/>
  <c r="O20" i="4"/>
  <c r="AN163" i="4"/>
  <c r="W166" i="4"/>
  <c r="Y166" i="4"/>
  <c r="AR166" i="4"/>
  <c r="BZ166" i="4"/>
  <c r="BZ168" i="4"/>
  <c r="W173" i="4"/>
  <c r="Y173" i="4"/>
  <c r="U178" i="4"/>
  <c r="BZ178" i="4"/>
  <c r="R179" i="4"/>
  <c r="AR179" i="4"/>
  <c r="T182" i="4"/>
  <c r="AT182" i="4"/>
  <c r="BZ183" i="4"/>
  <c r="BI184" i="4"/>
  <c r="T187" i="4"/>
  <c r="AG188" i="4"/>
  <c r="V188" i="4"/>
  <c r="V21" i="4"/>
  <c r="CN188" i="4"/>
  <c r="CN21" i="4"/>
  <c r="CJ190" i="4"/>
  <c r="BZ192" i="4"/>
  <c r="BZ199" i="4"/>
  <c r="CJ200" i="4"/>
  <c r="W200" i="4"/>
  <c r="Y200" i="4"/>
  <c r="AR205" i="4"/>
  <c r="T205" i="4"/>
  <c r="R205" i="4"/>
  <c r="G205" i="4"/>
  <c r="CJ210" i="4"/>
  <c r="AT213" i="4"/>
  <c r="W213" i="4"/>
  <c r="Y213" i="4"/>
  <c r="AV218" i="4"/>
  <c r="BI219" i="4"/>
  <c r="CB224" i="4"/>
  <c r="BZ130" i="4"/>
  <c r="BI131" i="4"/>
  <c r="BZ140" i="4"/>
  <c r="W142" i="4"/>
  <c r="Y142" i="4"/>
  <c r="M141" i="4"/>
  <c r="AS146" i="4"/>
  <c r="AB141" i="4"/>
  <c r="AB56" i="4"/>
  <c r="AB20" i="4"/>
  <c r="AB18" i="4"/>
  <c r="AJ141" i="4"/>
  <c r="AJ56" i="4"/>
  <c r="AJ20" i="4"/>
  <c r="AO156" i="4"/>
  <c r="BM158" i="4"/>
  <c r="BN158" i="4"/>
  <c r="G159" i="4"/>
  <c r="R159" i="4"/>
  <c r="AS160" i="4"/>
  <c r="AN160" i="4"/>
  <c r="G166" i="4"/>
  <c r="AD162" i="4"/>
  <c r="AN162" i="4"/>
  <c r="U179" i="4"/>
  <c r="CJ189" i="4"/>
  <c r="AL188" i="4"/>
  <c r="AL21" i="4"/>
  <c r="AE188" i="4"/>
  <c r="AE21" i="4"/>
  <c r="G192" i="4"/>
  <c r="W192" i="4"/>
  <c r="CB194" i="4"/>
  <c r="AO194" i="4"/>
  <c r="BJ194" i="4"/>
  <c r="CJ198" i="4"/>
  <c r="AR208" i="4"/>
  <c r="W208" i="4"/>
  <c r="Y208" i="4"/>
  <c r="L218" i="4"/>
  <c r="L24" i="4"/>
  <c r="BI225" i="4"/>
  <c r="AR229" i="4"/>
  <c r="W229" i="4"/>
  <c r="Y229" i="4"/>
  <c r="R229" i="4"/>
  <c r="AT232" i="4"/>
  <c r="U232" i="4"/>
  <c r="T191" i="4"/>
  <c r="T188" i="4"/>
  <c r="T21" i="4"/>
  <c r="CJ195" i="4"/>
  <c r="BZ198" i="4"/>
  <c r="AS201" i="4"/>
  <c r="BZ202" i="4"/>
  <c r="CJ203" i="4"/>
  <c r="BZ203" i="4"/>
  <c r="BI205" i="4"/>
  <c r="BZ208" i="4"/>
  <c r="BZ209" i="4"/>
  <c r="CJ211" i="4"/>
  <c r="AO218" i="4"/>
  <c r="AO24" i="4"/>
  <c r="BI220" i="4"/>
  <c r="BZ228" i="4"/>
  <c r="BZ234" i="4"/>
  <c r="AT238" i="4"/>
  <c r="AT240" i="4"/>
  <c r="W243" i="4"/>
  <c r="Y243" i="4"/>
  <c r="AR243" i="4"/>
  <c r="BI245" i="4"/>
  <c r="BZ245" i="4"/>
  <c r="BI246" i="4"/>
  <c r="G247" i="4"/>
  <c r="W247" i="4"/>
  <c r="Y247" i="4"/>
  <c r="BI247" i="4"/>
  <c r="BZ249" i="4"/>
  <c r="BI260" i="4"/>
  <c r="AN191" i="4"/>
  <c r="U191" i="4"/>
  <c r="U188" i="4"/>
  <c r="U21" i="4"/>
  <c r="BZ195" i="4"/>
  <c r="CJ196" i="4"/>
  <c r="W196" i="4"/>
  <c r="Y196" i="4"/>
  <c r="BZ196" i="4"/>
  <c r="CJ199" i="4"/>
  <c r="BI203" i="4"/>
  <c r="BZ211" i="4"/>
  <c r="BZ215" i="4"/>
  <c r="BZ216" i="4"/>
  <c r="BZ219" i="4"/>
  <c r="U223" i="4"/>
  <c r="G226" i="4"/>
  <c r="CJ226" i="4"/>
  <c r="W226" i="4"/>
  <c r="Y226" i="4"/>
  <c r="BZ229" i="4"/>
  <c r="G237" i="4"/>
  <c r="R237" i="4"/>
  <c r="BI237" i="4"/>
  <c r="S238" i="4"/>
  <c r="BZ238" i="4"/>
  <c r="T239" i="4"/>
  <c r="BI239" i="4"/>
  <c r="S240" i="4"/>
  <c r="BZ240" i="4"/>
  <c r="W241" i="4"/>
  <c r="Y241" i="4"/>
  <c r="BI242" i="4"/>
  <c r="G243" i="4"/>
  <c r="R243" i="4"/>
  <c r="S246" i="4"/>
  <c r="CJ247" i="4"/>
  <c r="AR247" i="4"/>
  <c r="W248" i="4"/>
  <c r="Y248" i="4"/>
  <c r="BI248" i="4"/>
  <c r="BI249" i="4"/>
  <c r="G251" i="4"/>
  <c r="R251" i="4"/>
  <c r="CJ251" i="4"/>
  <c r="BZ252" i="4"/>
  <c r="BV253" i="4"/>
  <c r="AT254" i="4"/>
  <c r="BZ255" i="4"/>
  <c r="BI230" i="4"/>
  <c r="BZ232" i="4"/>
  <c r="CB233" i="4"/>
  <c r="T237" i="4"/>
  <c r="U238" i="4"/>
  <c r="W239" i="4"/>
  <c r="Y239" i="4"/>
  <c r="AR239" i="4"/>
  <c r="U240" i="4"/>
  <c r="S243" i="4"/>
  <c r="BZ243" i="4"/>
  <c r="CJ250" i="4"/>
  <c r="S251" i="4"/>
  <c r="BI252" i="4"/>
  <c r="G254" i="4"/>
  <c r="BI258" i="4"/>
  <c r="BZ258" i="4"/>
  <c r="G261" i="4"/>
  <c r="BZ261" i="4"/>
  <c r="BZ262" i="4"/>
  <c r="BZ257" i="4"/>
  <c r="BZ263" i="4"/>
  <c r="BI55" i="4"/>
  <c r="BI23" i="4"/>
  <c r="BI29" i="4"/>
  <c r="BI32" i="4"/>
  <c r="BI33" i="4"/>
  <c r="BZ42" i="4"/>
  <c r="BZ44" i="4"/>
  <c r="BI45" i="4"/>
  <c r="AN52" i="4"/>
  <c r="AN51" i="4"/>
  <c r="CJ64" i="4"/>
  <c r="AT66" i="4"/>
  <c r="AR66" i="4"/>
  <c r="W66" i="4"/>
  <c r="Y66" i="4"/>
  <c r="AR67" i="4"/>
  <c r="W67" i="4"/>
  <c r="Y67" i="4"/>
  <c r="BZ87" i="4"/>
  <c r="AT92" i="4"/>
  <c r="AR92" i="4"/>
  <c r="G92" i="4"/>
  <c r="CJ97" i="4"/>
  <c r="AT103" i="4"/>
  <c r="AR103" i="4"/>
  <c r="G103" i="4"/>
  <c r="W103" i="4"/>
  <c r="Y103" i="4"/>
  <c r="AT107" i="4"/>
  <c r="S107" i="4"/>
  <c r="G107" i="4"/>
  <c r="AR107" i="4"/>
  <c r="R107" i="4"/>
  <c r="AT120" i="4"/>
  <c r="AR120" i="4"/>
  <c r="G120" i="4"/>
  <c r="AT136" i="4"/>
  <c r="AR136" i="4"/>
  <c r="G136" i="4"/>
  <c r="W136" i="4"/>
  <c r="Y136" i="4"/>
  <c r="BJ38" i="4"/>
  <c r="BZ62" i="4"/>
  <c r="U59" i="4"/>
  <c r="U57" i="4"/>
  <c r="BI65" i="4"/>
  <c r="AR74" i="4"/>
  <c r="W76" i="4"/>
  <c r="Y76" i="4"/>
  <c r="AR76" i="4"/>
  <c r="W82" i="4"/>
  <c r="Y82" i="4"/>
  <c r="AT82" i="4"/>
  <c r="G82" i="4"/>
  <c r="BZ85" i="4"/>
  <c r="CJ96" i="4"/>
  <c r="BZ102" i="4"/>
  <c r="BI104" i="4"/>
  <c r="T107" i="4"/>
  <c r="BI113" i="4"/>
  <c r="AT117" i="4"/>
  <c r="AR117" i="4"/>
  <c r="W117" i="4"/>
  <c r="Y117" i="4"/>
  <c r="G117" i="4"/>
  <c r="AT119" i="4"/>
  <c r="G119" i="4"/>
  <c r="AR119" i="4"/>
  <c r="W119" i="4"/>
  <c r="Y119" i="4"/>
  <c r="W120" i="4"/>
  <c r="Y120" i="4"/>
  <c r="CJ123" i="4"/>
  <c r="T26" i="4"/>
  <c r="T19" i="4"/>
  <c r="BI28" i="4"/>
  <c r="BI37" i="4"/>
  <c r="W68" i="4"/>
  <c r="Y68" i="4"/>
  <c r="AT68" i="4"/>
  <c r="G68" i="4"/>
  <c r="AT108" i="4"/>
  <c r="W108" i="4"/>
  <c r="Y108" i="4"/>
  <c r="S108" i="4"/>
  <c r="G108" i="4"/>
  <c r="AT140" i="4"/>
  <c r="AR140" i="4"/>
  <c r="W140" i="4"/>
  <c r="Y140" i="4"/>
  <c r="G140" i="4"/>
  <c r="W52" i="4"/>
  <c r="W51" i="4"/>
  <c r="AR60" i="4"/>
  <c r="AO27" i="4"/>
  <c r="BZ38" i="4"/>
  <c r="BZ40" i="4"/>
  <c r="BZ45" i="4"/>
  <c r="Y54" i="4"/>
  <c r="AT69" i="4"/>
  <c r="G69" i="4"/>
  <c r="AR69" i="4"/>
  <c r="W69" i="4"/>
  <c r="Y69" i="4"/>
  <c r="AR72" i="4"/>
  <c r="W72" i="4"/>
  <c r="Y72" i="4"/>
  <c r="BZ81" i="4"/>
  <c r="W30" i="4"/>
  <c r="Y30" i="4"/>
  <c r="BJ39" i="4"/>
  <c r="P34" i="4"/>
  <c r="P26" i="4"/>
  <c r="P19" i="4"/>
  <c r="X34" i="4"/>
  <c r="X26" i="4"/>
  <c r="X19" i="4"/>
  <c r="AO41" i="4"/>
  <c r="BJ41" i="4"/>
  <c r="AN41" i="4"/>
  <c r="AN34" i="4"/>
  <c r="BI52" i="4"/>
  <c r="BJ53" i="4"/>
  <c r="BI58" i="4"/>
  <c r="G60" i="4"/>
  <c r="BI61" i="4"/>
  <c r="BI62" i="4"/>
  <c r="BI64" i="4"/>
  <c r="BZ67" i="4"/>
  <c r="BI76" i="4"/>
  <c r="CJ81" i="4"/>
  <c r="W81" i="4"/>
  <c r="Y81" i="4"/>
  <c r="CJ83" i="4"/>
  <c r="AT91" i="4"/>
  <c r="AR91" i="4"/>
  <c r="G91" i="4"/>
  <c r="BI92" i="4"/>
  <c r="CJ93" i="4"/>
  <c r="CJ100" i="4"/>
  <c r="AT104" i="4"/>
  <c r="G104" i="4"/>
  <c r="AR104" i="4"/>
  <c r="W104" i="4"/>
  <c r="Y104" i="4"/>
  <c r="BZ107" i="4"/>
  <c r="R108" i="4"/>
  <c r="U110" i="4"/>
  <c r="AR110" i="4"/>
  <c r="S110" i="4"/>
  <c r="G110" i="4"/>
  <c r="R110" i="4"/>
  <c r="CJ110" i="4"/>
  <c r="AT114" i="4"/>
  <c r="T114" i="4"/>
  <c r="S114" i="4"/>
  <c r="G114" i="4"/>
  <c r="BZ117" i="4"/>
  <c r="R116" i="4"/>
  <c r="BI118" i="4"/>
  <c r="BI120" i="4"/>
  <c r="AT124" i="4"/>
  <c r="W124" i="4"/>
  <c r="Y124" i="4"/>
  <c r="BZ154" i="4"/>
  <c r="AR157" i="4"/>
  <c r="W157" i="4"/>
  <c r="W156" i="4"/>
  <c r="BI157" i="4"/>
  <c r="W165" i="4"/>
  <c r="Y165" i="4"/>
  <c r="AR165" i="4"/>
  <c r="AT174" i="4"/>
  <c r="AR174" i="4"/>
  <c r="T174" i="4"/>
  <c r="S174" i="4"/>
  <c r="AR176" i="4"/>
  <c r="T176" i="4"/>
  <c r="R176" i="4"/>
  <c r="G176" i="4"/>
  <c r="AT177" i="4"/>
  <c r="AR177" i="4"/>
  <c r="T177" i="4"/>
  <c r="S177" i="4"/>
  <c r="G177" i="4"/>
  <c r="CJ124" i="4"/>
  <c r="CJ126" i="4"/>
  <c r="BZ128" i="4"/>
  <c r="AT129" i="4"/>
  <c r="AR129" i="4"/>
  <c r="W129" i="4"/>
  <c r="Y129" i="4"/>
  <c r="G129" i="4"/>
  <c r="CJ132" i="4"/>
  <c r="BZ137" i="4"/>
  <c r="T116" i="4"/>
  <c r="BI143" i="4"/>
  <c r="BI145" i="4"/>
  <c r="BI167" i="4"/>
  <c r="W168" i="4"/>
  <c r="Y168" i="4"/>
  <c r="G174" i="4"/>
  <c r="R174" i="4"/>
  <c r="CJ174" i="4"/>
  <c r="W175" i="4"/>
  <c r="Y175" i="4"/>
  <c r="AR175" i="4"/>
  <c r="S175" i="4"/>
  <c r="W176" i="4"/>
  <c r="Y176" i="4"/>
  <c r="R177" i="4"/>
  <c r="U180" i="4"/>
  <c r="T180" i="4"/>
  <c r="AR184" i="4"/>
  <c r="CJ67" i="4"/>
  <c r="CJ69" i="4"/>
  <c r="BZ69" i="4"/>
  <c r="BZ71" i="4"/>
  <c r="CJ72" i="4"/>
  <c r="BI73" i="4"/>
  <c r="BI80" i="4"/>
  <c r="CJ82" i="4"/>
  <c r="BI84" i="4"/>
  <c r="BI86" i="4"/>
  <c r="BZ94" i="4"/>
  <c r="BZ98" i="4"/>
  <c r="BZ99" i="4"/>
  <c r="BI102" i="4"/>
  <c r="BI103" i="4"/>
  <c r="CJ104" i="4"/>
  <c r="BZ114" i="4"/>
  <c r="BZ124" i="4"/>
  <c r="BI128" i="4"/>
  <c r="CJ130" i="4"/>
  <c r="W133" i="4"/>
  <c r="Y133" i="4"/>
  <c r="BI135" i="4"/>
  <c r="BI138" i="4"/>
  <c r="AT139" i="4"/>
  <c r="W139" i="4"/>
  <c r="Y139" i="4"/>
  <c r="BI140" i="4"/>
  <c r="W144" i="4"/>
  <c r="Y144" i="4"/>
  <c r="AT147" i="4"/>
  <c r="AR147" i="4"/>
  <c r="R147" i="4"/>
  <c r="AA146" i="4"/>
  <c r="AA141" i="4"/>
  <c r="BZ149" i="4"/>
  <c r="CJ153" i="4"/>
  <c r="AR154" i="4"/>
  <c r="T154" i="4"/>
  <c r="BI154" i="4"/>
  <c r="BI156" i="4"/>
  <c r="T157" i="4"/>
  <c r="T156" i="4"/>
  <c r="BI159" i="4"/>
  <c r="AR161" i="4"/>
  <c r="R161" i="4"/>
  <c r="G161" i="4"/>
  <c r="G165" i="4"/>
  <c r="BI165" i="4"/>
  <c r="W174" i="4"/>
  <c r="Y174" i="4"/>
  <c r="BI176" i="4"/>
  <c r="W177" i="4"/>
  <c r="Y177" i="4"/>
  <c r="AR181" i="4"/>
  <c r="G181" i="4"/>
  <c r="S184" i="4"/>
  <c r="CJ66" i="4"/>
  <c r="BI66" i="4"/>
  <c r="BI71" i="4"/>
  <c r="G73" i="4"/>
  <c r="CJ73" i="4"/>
  <c r="W73" i="4"/>
  <c r="Y73" i="4"/>
  <c r="AR73" i="4"/>
  <c r="CJ74" i="4"/>
  <c r="BZ74" i="4"/>
  <c r="CJ77" i="4"/>
  <c r="BZ77" i="4"/>
  <c r="BI78" i="4"/>
  <c r="W79" i="4"/>
  <c r="Y79" i="4"/>
  <c r="AR79" i="4"/>
  <c r="BZ83" i="4"/>
  <c r="BI85" i="4"/>
  <c r="BI88" i="4"/>
  <c r="CJ95" i="4"/>
  <c r="W95" i="4"/>
  <c r="Y95" i="4"/>
  <c r="BZ95" i="4"/>
  <c r="BI96" i="4"/>
  <c r="BI99" i="4"/>
  <c r="BI100" i="4"/>
  <c r="CJ101" i="4"/>
  <c r="BZ104" i="4"/>
  <c r="BI108" i="4"/>
  <c r="BI117" i="4"/>
  <c r="BI123" i="4"/>
  <c r="BZ126" i="4"/>
  <c r="AR127" i="4"/>
  <c r="W127" i="4"/>
  <c r="Y127" i="4"/>
  <c r="G127" i="4"/>
  <c r="AT135" i="4"/>
  <c r="AR135" i="4"/>
  <c r="G135" i="4"/>
  <c r="BI136" i="4"/>
  <c r="AR139" i="4"/>
  <c r="AR145" i="4"/>
  <c r="W145" i="4"/>
  <c r="Y145" i="4"/>
  <c r="S147" i="4"/>
  <c r="BI147" i="4"/>
  <c r="BI151" i="4"/>
  <c r="BZ153" i="4"/>
  <c r="R154" i="4"/>
  <c r="BI158" i="4"/>
  <c r="AT172" i="4"/>
  <c r="AR172" i="4"/>
  <c r="T172" i="4"/>
  <c r="S172" i="4"/>
  <c r="BZ180" i="4"/>
  <c r="U181" i="4"/>
  <c r="AR183" i="4"/>
  <c r="W183" i="4"/>
  <c r="Y183" i="4"/>
  <c r="T183" i="4"/>
  <c r="W187" i="4"/>
  <c r="Y187" i="4"/>
  <c r="W193" i="4"/>
  <c r="Y193" i="4"/>
  <c r="G194" i="4"/>
  <c r="G199" i="4"/>
  <c r="W199" i="4"/>
  <c r="Y199" i="4"/>
  <c r="AR203" i="4"/>
  <c r="G207" i="4"/>
  <c r="R207" i="4"/>
  <c r="BI212" i="4"/>
  <c r="BI214" i="4"/>
  <c r="G216" i="4"/>
  <c r="W219" i="4"/>
  <c r="W221" i="4"/>
  <c r="Y221" i="4"/>
  <c r="AR221" i="4"/>
  <c r="T225" i="4"/>
  <c r="S227" i="4"/>
  <c r="S230" i="4"/>
  <c r="AR230" i="4"/>
  <c r="R231" i="4"/>
  <c r="W233" i="4"/>
  <c r="Y233" i="4"/>
  <c r="R234" i="4"/>
  <c r="BI173" i="4"/>
  <c r="BI174" i="4"/>
  <c r="BI175" i="4"/>
  <c r="BI177" i="4"/>
  <c r="AT179" i="4"/>
  <c r="BI181" i="4"/>
  <c r="BZ181" i="4"/>
  <c r="W182" i="4"/>
  <c r="Y182" i="4"/>
  <c r="AR182" i="4"/>
  <c r="BI185" i="4"/>
  <c r="BI193" i="4"/>
  <c r="BI195" i="4"/>
  <c r="G197" i="4"/>
  <c r="BI197" i="4"/>
  <c r="BI202" i="4"/>
  <c r="G203" i="4"/>
  <c r="S207" i="4"/>
  <c r="BI208" i="4"/>
  <c r="BI209" i="4"/>
  <c r="BI213" i="4"/>
  <c r="W225" i="4"/>
  <c r="Y225" i="4"/>
  <c r="AR225" i="4"/>
  <c r="AR227" i="4"/>
  <c r="G230" i="4"/>
  <c r="G231" i="4"/>
  <c r="S231" i="4"/>
  <c r="G234" i="4"/>
  <c r="S234" i="4"/>
  <c r="CJ127" i="4"/>
  <c r="CJ136" i="4"/>
  <c r="BI139" i="4"/>
  <c r="CJ140" i="4"/>
  <c r="BI148" i="4"/>
  <c r="BI150" i="4"/>
  <c r="BZ150" i="4"/>
  <c r="W153" i="4"/>
  <c r="Y153" i="4"/>
  <c r="BI161" i="4"/>
  <c r="BI166" i="4"/>
  <c r="BZ171" i="4"/>
  <c r="BZ173" i="4"/>
  <c r="BZ184" i="4"/>
  <c r="R185" i="4"/>
  <c r="R187" i="4"/>
  <c r="BZ187" i="4"/>
  <c r="AR197" i="4"/>
  <c r="W204" i="4"/>
  <c r="Y204" i="4"/>
  <c r="T207" i="4"/>
  <c r="BI207" i="4"/>
  <c r="T208" i="4"/>
  <c r="W215" i="4"/>
  <c r="Y215" i="4"/>
  <c r="BI217" i="4"/>
  <c r="G219" i="4"/>
  <c r="R219" i="4"/>
  <c r="U220" i="4"/>
  <c r="S221" i="4"/>
  <c r="AT224" i="4"/>
  <c r="R225" i="4"/>
  <c r="T229" i="4"/>
  <c r="T231" i="4"/>
  <c r="T234" i="4"/>
  <c r="BZ185" i="4"/>
  <c r="BI186" i="4"/>
  <c r="AR199" i="4"/>
  <c r="W207" i="4"/>
  <c r="Y207" i="4"/>
  <c r="AR207" i="4"/>
  <c r="W231" i="4"/>
  <c r="Y231" i="4"/>
  <c r="AR231" i="4"/>
  <c r="W234" i="4"/>
  <c r="Y234" i="4"/>
  <c r="AR234" i="4"/>
  <c r="AH26" i="4"/>
  <c r="AH19" i="4"/>
  <c r="AL26" i="4"/>
  <c r="AL19" i="4"/>
  <c r="BY36" i="4"/>
  <c r="BZ37" i="4"/>
  <c r="AO36" i="4"/>
  <c r="AO35" i="4"/>
  <c r="AR24" i="4"/>
  <c r="AN218" i="4"/>
  <c r="AN24" i="4"/>
  <c r="AR218" i="4"/>
  <c r="AD34" i="4"/>
  <c r="AD26" i="4"/>
  <c r="AD19" i="4"/>
  <c r="AR52" i="4"/>
  <c r="AA191" i="4"/>
  <c r="AR191" i="4"/>
  <c r="BZ172" i="4"/>
  <c r="AR169" i="4"/>
  <c r="AN169" i="4"/>
  <c r="AE162" i="4"/>
  <c r="AR146" i="4"/>
  <c r="AD105" i="4"/>
  <c r="AN59" i="4"/>
  <c r="AN57" i="4"/>
  <c r="AN27" i="4"/>
  <c r="V272" i="4"/>
  <c r="BI51" i="4"/>
  <c r="BJ28" i="4"/>
  <c r="Q57" i="4"/>
  <c r="AS59" i="4"/>
  <c r="AA59" i="4"/>
  <c r="AN156" i="4"/>
  <c r="AD141" i="4"/>
  <c r="AN141" i="4"/>
  <c r="AR170" i="4"/>
  <c r="T170" i="4"/>
  <c r="S170" i="4"/>
  <c r="AT170" i="4"/>
  <c r="W170" i="4"/>
  <c r="R170" i="4"/>
  <c r="G170" i="4"/>
  <c r="U170" i="4"/>
  <c r="CB27" i="4"/>
  <c r="AV27" i="4"/>
  <c r="BF27" i="4"/>
  <c r="BH27" i="4"/>
  <c r="CJ29" i="4"/>
  <c r="BZ29" i="4"/>
  <c r="BM31" i="4"/>
  <c r="BN31" i="4"/>
  <c r="AA31" i="4"/>
  <c r="M35" i="4"/>
  <c r="M34" i="4"/>
  <c r="M26" i="4"/>
  <c r="M19" i="4"/>
  <c r="CJ36" i="4"/>
  <c r="Q35" i="4"/>
  <c r="AX35" i="4"/>
  <c r="AC35" i="4"/>
  <c r="BE36" i="4"/>
  <c r="BG36" i="4"/>
  <c r="AK35" i="4"/>
  <c r="AK34" i="4"/>
  <c r="AS36" i="4"/>
  <c r="BJ36" i="4"/>
  <c r="BW36" i="4"/>
  <c r="S39" i="4"/>
  <c r="BF39" i="4"/>
  <c r="BI39" i="4"/>
  <c r="BS39" i="4"/>
  <c r="L39" i="4"/>
  <c r="AR39" i="4"/>
  <c r="W40" i="4"/>
  <c r="G40" i="4"/>
  <c r="R41" i="4"/>
  <c r="BI42" i="4"/>
  <c r="BJ42" i="4"/>
  <c r="BI44" i="4"/>
  <c r="BM46" i="4"/>
  <c r="BM49" i="4"/>
  <c r="Y52" i="4"/>
  <c r="Y51" i="4"/>
  <c r="G54" i="4"/>
  <c r="BI54" i="4"/>
  <c r="BH57" i="4"/>
  <c r="AO59" i="4"/>
  <c r="BF59" i="4"/>
  <c r="W60" i="4"/>
  <c r="L59" i="4"/>
  <c r="BI67" i="4"/>
  <c r="G70" i="4"/>
  <c r="S70" i="4"/>
  <c r="S59" i="4"/>
  <c r="S57" i="4"/>
  <c r="BI70" i="4"/>
  <c r="BJ70" i="4"/>
  <c r="G71" i="4"/>
  <c r="BI74" i="4"/>
  <c r="AT75" i="4"/>
  <c r="AR75" i="4"/>
  <c r="W75" i="4"/>
  <c r="Y75" i="4"/>
  <c r="G76" i="4"/>
  <c r="W77" i="4"/>
  <c r="Y77" i="4"/>
  <c r="G77" i="4"/>
  <c r="CJ78" i="4"/>
  <c r="G80" i="4"/>
  <c r="BI83" i="4"/>
  <c r="CJ86" i="4"/>
  <c r="AR86" i="4"/>
  <c r="BZ86" i="4"/>
  <c r="G88" i="4"/>
  <c r="AR89" i="4"/>
  <c r="G89" i="4"/>
  <c r="W89" i="4"/>
  <c r="Y89" i="4"/>
  <c r="AR90" i="4"/>
  <c r="G90" i="4"/>
  <c r="W90" i="4"/>
  <c r="Y90" i="4"/>
  <c r="AT90" i="4"/>
  <c r="AR118" i="4"/>
  <c r="W118" i="4"/>
  <c r="Y118" i="4"/>
  <c r="G118" i="4"/>
  <c r="AT118" i="4"/>
  <c r="CB23" i="4"/>
  <c r="AV23" i="4"/>
  <c r="BM27" i="4"/>
  <c r="BN27" i="4"/>
  <c r="W29" i="4"/>
  <c r="L27" i="4"/>
  <c r="W50" i="4"/>
  <c r="G50" i="4"/>
  <c r="L49" i="4"/>
  <c r="L46" i="4"/>
  <c r="AD56" i="4"/>
  <c r="AD20" i="4"/>
  <c r="AV59" i="4"/>
  <c r="W63" i="4"/>
  <c r="Y63" i="4"/>
  <c r="G63" i="4"/>
  <c r="AX70" i="4"/>
  <c r="W155" i="4"/>
  <c r="Y155" i="4"/>
  <c r="R155" i="4"/>
  <c r="T155" i="4"/>
  <c r="AR155" i="4"/>
  <c r="U155" i="4"/>
  <c r="G155" i="4"/>
  <c r="AT155" i="4"/>
  <c r="S155" i="4"/>
  <c r="BM22" i="4"/>
  <c r="BN22" i="4"/>
  <c r="CB22" i="4"/>
  <c r="AV22" i="4"/>
  <c r="BM23" i="4"/>
  <c r="BN23" i="4"/>
  <c r="CJ23" i="4"/>
  <c r="G29" i="4"/>
  <c r="AV36" i="4"/>
  <c r="AT38" i="4"/>
  <c r="BM39" i="4"/>
  <c r="BN39" i="4"/>
  <c r="BR39" i="4"/>
  <c r="BU39" i="4"/>
  <c r="AR45" i="4"/>
  <c r="BI50" i="4"/>
  <c r="CB51" i="4"/>
  <c r="AV51" i="4"/>
  <c r="BI53" i="4"/>
  <c r="AT54" i="4"/>
  <c r="AH56" i="4"/>
  <c r="AH20" i="4"/>
  <c r="BE59" i="4"/>
  <c r="AG57" i="4"/>
  <c r="AK57" i="4"/>
  <c r="BG59" i="4"/>
  <c r="BH59" i="4"/>
  <c r="BZ60" i="4"/>
  <c r="CJ61" i="4"/>
  <c r="BI63" i="4"/>
  <c r="BZ65" i="4"/>
  <c r="CJ68" i="4"/>
  <c r="AR70" i="4"/>
  <c r="BN70" i="4"/>
  <c r="AT71" i="4"/>
  <c r="BI72" i="4"/>
  <c r="AT76" i="4"/>
  <c r="AR77" i="4"/>
  <c r="AT80" i="4"/>
  <c r="BI81" i="4"/>
  <c r="AR84" i="4"/>
  <c r="G86" i="4"/>
  <c r="AT88" i="4"/>
  <c r="BZ88" i="4"/>
  <c r="CJ89" i="4"/>
  <c r="AT89" i="4"/>
  <c r="BZ89" i="4"/>
  <c r="AR98" i="4"/>
  <c r="G98" i="4"/>
  <c r="W98" i="4"/>
  <c r="Y98" i="4"/>
  <c r="AT98" i="4"/>
  <c r="BZ110" i="4"/>
  <c r="BR36" i="4"/>
  <c r="K35" i="4"/>
  <c r="BM36" i="4"/>
  <c r="BN36" i="4"/>
  <c r="CB59" i="4"/>
  <c r="CB70" i="4"/>
  <c r="AV70" i="4"/>
  <c r="R70" i="4"/>
  <c r="R59" i="4"/>
  <c r="H70" i="4"/>
  <c r="BL70" i="4"/>
  <c r="BY70" i="4"/>
  <c r="BZ70" i="4"/>
  <c r="AS70" i="4"/>
  <c r="AA70" i="4"/>
  <c r="T70" i="4"/>
  <c r="T59" i="4"/>
  <c r="T57" i="4"/>
  <c r="AS27" i="4"/>
  <c r="AT29" i="4"/>
  <c r="BI30" i="4"/>
  <c r="CB31" i="4"/>
  <c r="AV31" i="4"/>
  <c r="O34" i="4"/>
  <c r="O26" i="4"/>
  <c r="O19" i="4"/>
  <c r="S35" i="4"/>
  <c r="S34" i="4"/>
  <c r="S26" i="4"/>
  <c r="S19" i="4"/>
  <c r="BT36" i="4"/>
  <c r="BV36" i="4"/>
  <c r="AI35" i="4"/>
  <c r="AI34" i="4"/>
  <c r="AM35" i="4"/>
  <c r="AM34" i="4"/>
  <c r="BX36" i="4"/>
  <c r="BF36" i="4"/>
  <c r="CB36" i="4"/>
  <c r="W37" i="4"/>
  <c r="G37" i="4"/>
  <c r="L36" i="4"/>
  <c r="CJ39" i="4"/>
  <c r="AT39" i="4"/>
  <c r="AS39" i="4"/>
  <c r="BW39" i="4"/>
  <c r="Y42" i="4"/>
  <c r="Y41" i="4"/>
  <c r="W41" i="4"/>
  <c r="CJ45" i="4"/>
  <c r="AT50" i="4"/>
  <c r="BM51" i="4"/>
  <c r="BN51" i="4"/>
  <c r="AS51" i="4"/>
  <c r="AR51" i="4"/>
  <c r="CJ53" i="4"/>
  <c r="BM59" i="4"/>
  <c r="BN59" i="4"/>
  <c r="BZ61" i="4"/>
  <c r="AT63" i="4"/>
  <c r="BZ64" i="4"/>
  <c r="BZ66" i="4"/>
  <c r="BZ68" i="4"/>
  <c r="BI69" i="4"/>
  <c r="AT70" i="4"/>
  <c r="CJ70" i="4"/>
  <c r="BZ73" i="4"/>
  <c r="W74" i="4"/>
  <c r="Y74" i="4"/>
  <c r="G74" i="4"/>
  <c r="BI75" i="4"/>
  <c r="BI77" i="4"/>
  <c r="BZ78" i="4"/>
  <c r="BI79" i="4"/>
  <c r="BZ84" i="4"/>
  <c r="AT86" i="4"/>
  <c r="BI87" i="4"/>
  <c r="BZ90" i="4"/>
  <c r="BZ91" i="4"/>
  <c r="BI94" i="4"/>
  <c r="Q105" i="4"/>
  <c r="AR121" i="4"/>
  <c r="W121" i="4"/>
  <c r="Y121" i="4"/>
  <c r="G121" i="4"/>
  <c r="AT121" i="4"/>
  <c r="AT30" i="4"/>
  <c r="AS41" i="4"/>
  <c r="BY41" i="4"/>
  <c r="BZ41" i="4"/>
  <c r="AT42" i="4"/>
  <c r="AT44" i="4"/>
  <c r="CJ60" i="4"/>
  <c r="AT65" i="4"/>
  <c r="AT67" i="4"/>
  <c r="AT72" i="4"/>
  <c r="AT78" i="4"/>
  <c r="AT81" i="4"/>
  <c r="AT83" i="4"/>
  <c r="AT87" i="4"/>
  <c r="BI90" i="4"/>
  <c r="BZ92" i="4"/>
  <c r="AR93" i="4"/>
  <c r="G93" i="4"/>
  <c r="BI93" i="4"/>
  <c r="CJ98" i="4"/>
  <c r="CJ99" i="4"/>
  <c r="BZ101" i="4"/>
  <c r="AR102" i="4"/>
  <c r="G102" i="4"/>
  <c r="W102" i="4"/>
  <c r="Y102" i="4"/>
  <c r="T115" i="4"/>
  <c r="S115" i="4"/>
  <c r="G115" i="4"/>
  <c r="AR115" i="4"/>
  <c r="R115" i="4"/>
  <c r="AR134" i="4"/>
  <c r="G134" i="4"/>
  <c r="W134" i="4"/>
  <c r="Y134" i="4"/>
  <c r="AT134" i="4"/>
  <c r="BZ96" i="4"/>
  <c r="AR97" i="4"/>
  <c r="G97" i="4"/>
  <c r="BI97" i="4"/>
  <c r="CJ102" i="4"/>
  <c r="CJ103" i="4"/>
  <c r="AR109" i="4"/>
  <c r="T109" i="4"/>
  <c r="S109" i="4"/>
  <c r="G109" i="4"/>
  <c r="AT109" i="4"/>
  <c r="S111" i="4"/>
  <c r="AT111" i="4"/>
  <c r="W111" i="4"/>
  <c r="Y111" i="4"/>
  <c r="R111" i="4"/>
  <c r="G111" i="4"/>
  <c r="AN111" i="4"/>
  <c r="AN106" i="4"/>
  <c r="AL106" i="4"/>
  <c r="AL105" i="4"/>
  <c r="AL56" i="4"/>
  <c r="AL20" i="4"/>
  <c r="AL18" i="4"/>
  <c r="AR112" i="4"/>
  <c r="T112" i="4"/>
  <c r="AT112" i="4"/>
  <c r="U112" i="4"/>
  <c r="G112" i="4"/>
  <c r="S112" i="4"/>
  <c r="W113" i="4"/>
  <c r="Y113" i="4"/>
  <c r="R113" i="4"/>
  <c r="AT113" i="4"/>
  <c r="T113" i="4"/>
  <c r="G113" i="4"/>
  <c r="S113" i="4"/>
  <c r="U115" i="4"/>
  <c r="BI115" i="4"/>
  <c r="AO116" i="4"/>
  <c r="CB116" i="4"/>
  <c r="BZ119" i="4"/>
  <c r="BI121" i="4"/>
  <c r="AT122" i="4"/>
  <c r="AR122" i="4"/>
  <c r="G122" i="4"/>
  <c r="W122" i="4"/>
  <c r="Y122" i="4"/>
  <c r="AR126" i="4"/>
  <c r="W126" i="4"/>
  <c r="Y126" i="4"/>
  <c r="G126" i="4"/>
  <c r="BZ147" i="4"/>
  <c r="U28" i="4"/>
  <c r="U27" i="4"/>
  <c r="G30" i="4"/>
  <c r="AV41" i="4"/>
  <c r="BG41" i="4"/>
  <c r="BI41" i="4"/>
  <c r="J59" i="4"/>
  <c r="J57" i="4"/>
  <c r="G65" i="4"/>
  <c r="G67" i="4"/>
  <c r="G72" i="4"/>
  <c r="G81" i="4"/>
  <c r="G83" i="4"/>
  <c r="G87" i="4"/>
  <c r="CJ90" i="4"/>
  <c r="CJ91" i="4"/>
  <c r="AT93" i="4"/>
  <c r="BZ93" i="4"/>
  <c r="AR94" i="4"/>
  <c r="G94" i="4"/>
  <c r="W94" i="4"/>
  <c r="Y94" i="4"/>
  <c r="W97" i="4"/>
  <c r="Y97" i="4"/>
  <c r="BI98" i="4"/>
  <c r="BZ100" i="4"/>
  <c r="AR101" i="4"/>
  <c r="G101" i="4"/>
  <c r="BI101" i="4"/>
  <c r="AK105" i="4"/>
  <c r="BG105" i="4"/>
  <c r="L106" i="4"/>
  <c r="BZ108" i="4"/>
  <c r="R109" i="4"/>
  <c r="CJ109" i="4"/>
  <c r="BY109" i="4"/>
  <c r="BZ109" i="4"/>
  <c r="H109" i="4"/>
  <c r="BL109" i="4"/>
  <c r="AI106" i="4"/>
  <c r="BM109" i="4"/>
  <c r="BN109" i="4"/>
  <c r="AV109" i="4"/>
  <c r="AO109" i="4"/>
  <c r="BI109" i="4"/>
  <c r="CB111" i="4"/>
  <c r="BY111" i="4"/>
  <c r="BT111" i="4"/>
  <c r="BM111" i="4"/>
  <c r="BN111" i="4"/>
  <c r="AV111" i="4"/>
  <c r="AO111" i="4"/>
  <c r="BJ111" i="4"/>
  <c r="H111" i="4"/>
  <c r="BL111" i="4"/>
  <c r="AE106" i="4"/>
  <c r="AE105" i="4"/>
  <c r="AE56" i="4"/>
  <c r="BH111" i="4"/>
  <c r="AM106" i="4"/>
  <c r="BX111" i="4"/>
  <c r="R112" i="4"/>
  <c r="BI112" i="4"/>
  <c r="U113" i="4"/>
  <c r="BZ113" i="4"/>
  <c r="BI114" i="4"/>
  <c r="W115" i="4"/>
  <c r="Y115" i="4"/>
  <c r="BI116" i="4"/>
  <c r="S116" i="4"/>
  <c r="CJ116" i="4"/>
  <c r="CJ117" i="4"/>
  <c r="P116" i="4"/>
  <c r="P105" i="4"/>
  <c r="P56" i="4"/>
  <c r="P20" i="4"/>
  <c r="U116" i="4"/>
  <c r="BZ134" i="4"/>
  <c r="BZ135" i="4"/>
  <c r="L141" i="4"/>
  <c r="BZ122" i="4"/>
  <c r="W125" i="4"/>
  <c r="Y125" i="4"/>
  <c r="G125" i="4"/>
  <c r="AT125" i="4"/>
  <c r="BI129" i="4"/>
  <c r="CJ134" i="4"/>
  <c r="AR138" i="4"/>
  <c r="G138" i="4"/>
  <c r="W138" i="4"/>
  <c r="Y138" i="4"/>
  <c r="AN146" i="4"/>
  <c r="BZ148" i="4"/>
  <c r="T149" i="4"/>
  <c r="AR149" i="4"/>
  <c r="S149" i="4"/>
  <c r="G149" i="4"/>
  <c r="AT149" i="4"/>
  <c r="T150" i="4"/>
  <c r="AR150" i="4"/>
  <c r="S150" i="4"/>
  <c r="G150" i="4"/>
  <c r="W150" i="4"/>
  <c r="Y150" i="4"/>
  <c r="R150" i="4"/>
  <c r="K105" i="4"/>
  <c r="U107" i="4"/>
  <c r="T108" i="4"/>
  <c r="AS110" i="4"/>
  <c r="BF110" i="4"/>
  <c r="BI110" i="4"/>
  <c r="BG111" i="4"/>
  <c r="AS112" i="4"/>
  <c r="BZ115" i="4"/>
  <c r="AA116" i="4"/>
  <c r="CJ118" i="4"/>
  <c r="CJ119" i="4"/>
  <c r="CJ121" i="4"/>
  <c r="W123" i="4"/>
  <c r="Y123" i="4"/>
  <c r="AT123" i="4"/>
  <c r="G123" i="4"/>
  <c r="BZ125" i="4"/>
  <c r="BI126" i="4"/>
  <c r="G128" i="4"/>
  <c r="CJ128" i="4"/>
  <c r="W128" i="4"/>
  <c r="Y128" i="4"/>
  <c r="BI130" i="4"/>
  <c r="BZ132" i="4"/>
  <c r="AR133" i="4"/>
  <c r="G133" i="4"/>
  <c r="BI133" i="4"/>
  <c r="CJ138" i="4"/>
  <c r="AT138" i="4"/>
  <c r="CJ139" i="4"/>
  <c r="BI142" i="4"/>
  <c r="X141" i="4"/>
  <c r="X56" i="4"/>
  <c r="X20" i="4"/>
  <c r="Y148" i="4"/>
  <c r="R149" i="4"/>
  <c r="U150" i="4"/>
  <c r="BI152" i="4"/>
  <c r="R156" i="4"/>
  <c r="R158" i="4"/>
  <c r="R160" i="4"/>
  <c r="AR167" i="4"/>
  <c r="G167" i="4"/>
  <c r="W167" i="4"/>
  <c r="Y167" i="4"/>
  <c r="AT167" i="4"/>
  <c r="AA169" i="4"/>
  <c r="U108" i="4"/>
  <c r="BY112" i="4"/>
  <c r="BZ112" i="4"/>
  <c r="H112" i="4"/>
  <c r="BL112" i="4"/>
  <c r="BM112" i="4"/>
  <c r="BN112" i="4"/>
  <c r="AS116" i="4"/>
  <c r="BZ123" i="4"/>
  <c r="AR124" i="4"/>
  <c r="G124" i="4"/>
  <c r="BI124" i="4"/>
  <c r="AR125" i="4"/>
  <c r="AT128" i="4"/>
  <c r="BZ129" i="4"/>
  <c r="AR130" i="4"/>
  <c r="G130" i="4"/>
  <c r="W130" i="4"/>
  <c r="Y130" i="4"/>
  <c r="BI134" i="4"/>
  <c r="BZ136" i="4"/>
  <c r="AR137" i="4"/>
  <c r="G137" i="4"/>
  <c r="BI137" i="4"/>
  <c r="AK141" i="4"/>
  <c r="BG141" i="4"/>
  <c r="W143" i="4"/>
  <c r="Y143" i="4"/>
  <c r="BI144" i="4"/>
  <c r="AV146" i="4"/>
  <c r="CB146" i="4"/>
  <c r="U149" i="4"/>
  <c r="BI149" i="4"/>
  <c r="AT150" i="4"/>
  <c r="AG162" i="4"/>
  <c r="BE162" i="4"/>
  <c r="AO163" i="4"/>
  <c r="AK162" i="4"/>
  <c r="BG162" i="4"/>
  <c r="BG163" i="4"/>
  <c r="BI163" i="4"/>
  <c r="U114" i="4"/>
  <c r="CJ114" i="4"/>
  <c r="BM127" i="4"/>
  <c r="BN127" i="4"/>
  <c r="CB127" i="4"/>
  <c r="K141" i="4"/>
  <c r="AI141" i="4"/>
  <c r="BF141" i="4"/>
  <c r="U147" i="4"/>
  <c r="T148" i="4"/>
  <c r="AR151" i="4"/>
  <c r="S151" i="4"/>
  <c r="CJ151" i="4"/>
  <c r="W151" i="4"/>
  <c r="Y151" i="4"/>
  <c r="J156" i="4"/>
  <c r="J158" i="4"/>
  <c r="J160" i="4"/>
  <c r="BM163" i="4"/>
  <c r="BN163" i="4"/>
  <c r="BI164" i="4"/>
  <c r="BI168" i="4"/>
  <c r="AI169" i="4"/>
  <c r="BF169" i="4"/>
  <c r="BI169" i="4"/>
  <c r="AS170" i="4"/>
  <c r="T171" i="4"/>
  <c r="AR171" i="4"/>
  <c r="S171" i="4"/>
  <c r="W171" i="4"/>
  <c r="Y171" i="4"/>
  <c r="R171" i="4"/>
  <c r="G171" i="4"/>
  <c r="J169" i="4"/>
  <c r="J162" i="4"/>
  <c r="BI172" i="4"/>
  <c r="BZ176" i="4"/>
  <c r="BZ177" i="4"/>
  <c r="T178" i="4"/>
  <c r="AR178" i="4"/>
  <c r="S178" i="4"/>
  <c r="G178" i="4"/>
  <c r="W178" i="4"/>
  <c r="Y178" i="4"/>
  <c r="R178" i="4"/>
  <c r="BI178" i="4"/>
  <c r="BI179" i="4"/>
  <c r="L209" i="4"/>
  <c r="U209" i="4"/>
  <c r="U148" i="4"/>
  <c r="CJ152" i="4"/>
  <c r="Y157" i="4"/>
  <c r="Y156" i="4"/>
  <c r="Y159" i="4"/>
  <c r="Y158" i="4"/>
  <c r="W158" i="4"/>
  <c r="Y161" i="4"/>
  <c r="Y160" i="4"/>
  <c r="W160" i="4"/>
  <c r="L163" i="4"/>
  <c r="M162" i="4"/>
  <c r="L162" i="4"/>
  <c r="CB163" i="4"/>
  <c r="AV163" i="4"/>
  <c r="Q162" i="4"/>
  <c r="AS163" i="4"/>
  <c r="AA163" i="4"/>
  <c r="CJ163" i="4"/>
  <c r="BZ167" i="4"/>
  <c r="BM169" i="4"/>
  <c r="BN169" i="4"/>
  <c r="AS169" i="4"/>
  <c r="BI171" i="4"/>
  <c r="BZ174" i="4"/>
  <c r="BZ175" i="4"/>
  <c r="BI182" i="4"/>
  <c r="S191" i="4"/>
  <c r="CJ194" i="4"/>
  <c r="L202" i="4"/>
  <c r="P201" i="4"/>
  <c r="P22" i="4"/>
  <c r="BZ152" i="4"/>
  <c r="BM170" i="4"/>
  <c r="BN170" i="4"/>
  <c r="CB170" i="4"/>
  <c r="AV170" i="4"/>
  <c r="AO170" i="4"/>
  <c r="BJ170" i="4"/>
  <c r="H170" i="4"/>
  <c r="BL170" i="4"/>
  <c r="BV170" i="4"/>
  <c r="BZ170" i="4"/>
  <c r="BF170" i="4"/>
  <c r="BI170" i="4"/>
  <c r="T186" i="4"/>
  <c r="W186" i="4"/>
  <c r="Y186" i="4"/>
  <c r="R186" i="4"/>
  <c r="AR186" i="4"/>
  <c r="U186" i="4"/>
  <c r="G186" i="4"/>
  <c r="AT186" i="4"/>
  <c r="S186" i="4"/>
  <c r="AD188" i="4"/>
  <c r="AN189" i="4"/>
  <c r="S188" i="4"/>
  <c r="S21" i="4"/>
  <c r="R191" i="4"/>
  <c r="R188" i="4"/>
  <c r="CJ192" i="4"/>
  <c r="Y192" i="4"/>
  <c r="W217" i="4"/>
  <c r="AR217" i="4"/>
  <c r="U154" i="4"/>
  <c r="AT154" i="4"/>
  <c r="U157" i="4"/>
  <c r="U156" i="4"/>
  <c r="AT157" i="4"/>
  <c r="U159" i="4"/>
  <c r="U158" i="4"/>
  <c r="AT159" i="4"/>
  <c r="U161" i="4"/>
  <c r="U160" i="4"/>
  <c r="AT161" i="4"/>
  <c r="K162" i="4"/>
  <c r="AM162" i="4"/>
  <c r="BH162" i="4"/>
  <c r="AT164" i="4"/>
  <c r="AT168" i="4"/>
  <c r="AX172" i="4"/>
  <c r="U173" i="4"/>
  <c r="AT173" i="4"/>
  <c r="T175" i="4"/>
  <c r="U176" i="4"/>
  <c r="AT176" i="4"/>
  <c r="W179" i="4"/>
  <c r="Y179" i="4"/>
  <c r="BI180" i="4"/>
  <c r="BZ182" i="4"/>
  <c r="BI183" i="4"/>
  <c r="W184" i="4"/>
  <c r="Y184" i="4"/>
  <c r="R184" i="4"/>
  <c r="T184" i="4"/>
  <c r="N188" i="4"/>
  <c r="N21" i="4"/>
  <c r="N18" i="4"/>
  <c r="L189" i="4"/>
  <c r="BI204" i="4"/>
  <c r="BZ205" i="4"/>
  <c r="T206" i="4"/>
  <c r="AR206" i="4"/>
  <c r="S206" i="4"/>
  <c r="W206" i="4"/>
  <c r="Y206" i="4"/>
  <c r="R206" i="4"/>
  <c r="G206" i="4"/>
  <c r="AR214" i="4"/>
  <c r="G214" i="4"/>
  <c r="W214" i="4"/>
  <c r="Y214" i="4"/>
  <c r="AT165" i="4"/>
  <c r="U175" i="4"/>
  <c r="AT175" i="4"/>
  <c r="BZ179" i="4"/>
  <c r="AR180" i="4"/>
  <c r="S180" i="4"/>
  <c r="G180" i="4"/>
  <c r="W180" i="4"/>
  <c r="Y180" i="4"/>
  <c r="W181" i="4"/>
  <c r="Y181" i="4"/>
  <c r="R181" i="4"/>
  <c r="T181" i="4"/>
  <c r="BI190" i="4"/>
  <c r="CJ193" i="4"/>
  <c r="AR195" i="4"/>
  <c r="G195" i="4"/>
  <c r="W195" i="4"/>
  <c r="Y195" i="4"/>
  <c r="BI196" i="4"/>
  <c r="CJ197" i="4"/>
  <c r="BZ197" i="4"/>
  <c r="AR198" i="4"/>
  <c r="W198" i="4"/>
  <c r="Y198" i="4"/>
  <c r="G198" i="4"/>
  <c r="BI198" i="4"/>
  <c r="BI199" i="4"/>
  <c r="CJ202" i="4"/>
  <c r="BZ204" i="4"/>
  <c r="U206" i="4"/>
  <c r="BI206" i="4"/>
  <c r="BZ210" i="4"/>
  <c r="BI211" i="4"/>
  <c r="BZ212" i="4"/>
  <c r="AT214" i="4"/>
  <c r="AX219" i="4"/>
  <c r="J218" i="4"/>
  <c r="J24" i="4"/>
  <c r="Y219" i="4"/>
  <c r="BI221" i="4"/>
  <c r="G154" i="4"/>
  <c r="S154" i="4"/>
  <c r="S157" i="4"/>
  <c r="S156" i="4"/>
  <c r="S159" i="4"/>
  <c r="S158" i="4"/>
  <c r="S161" i="4"/>
  <c r="S160" i="4"/>
  <c r="G164" i="4"/>
  <c r="G168" i="4"/>
  <c r="U172" i="4"/>
  <c r="G173" i="4"/>
  <c r="S173" i="4"/>
  <c r="U174" i="4"/>
  <c r="G175" i="4"/>
  <c r="R175" i="4"/>
  <c r="S176" i="4"/>
  <c r="U177" i="4"/>
  <c r="CJ177" i="4"/>
  <c r="G179" i="4"/>
  <c r="S179" i="4"/>
  <c r="CJ179" i="4"/>
  <c r="R180" i="4"/>
  <c r="AT180" i="4"/>
  <c r="S181" i="4"/>
  <c r="AT181" i="4"/>
  <c r="CJ182" i="4"/>
  <c r="G184" i="4"/>
  <c r="U184" i="4"/>
  <c r="BZ186" i="4"/>
  <c r="BI187" i="4"/>
  <c r="P188" i="4"/>
  <c r="P21" i="4"/>
  <c r="AR190" i="4"/>
  <c r="G190" i="4"/>
  <c r="W190" i="4"/>
  <c r="Y190" i="4"/>
  <c r="BI192" i="4"/>
  <c r="BI200" i="4"/>
  <c r="BM201" i="4"/>
  <c r="BN201" i="4"/>
  <c r="BI201" i="4"/>
  <c r="CJ204" i="4"/>
  <c r="AX205" i="4"/>
  <c r="J201" i="4"/>
  <c r="J22" i="4"/>
  <c r="AT206" i="4"/>
  <c r="BI210" i="4"/>
  <c r="BI216" i="4"/>
  <c r="BM182" i="4"/>
  <c r="BN182" i="4"/>
  <c r="U183" i="4"/>
  <c r="AT183" i="4"/>
  <c r="G185" i="4"/>
  <c r="S185" i="4"/>
  <c r="AR185" i="4"/>
  <c r="U187" i="4"/>
  <c r="AT187" i="4"/>
  <c r="AA189" i="4"/>
  <c r="AA188" i="4"/>
  <c r="AA21" i="4"/>
  <c r="AS189" i="4"/>
  <c r="AK191" i="4"/>
  <c r="AO191" i="4"/>
  <c r="CJ191" i="4"/>
  <c r="AR192" i="4"/>
  <c r="AT193" i="4"/>
  <c r="H194" i="4"/>
  <c r="BL194" i="4"/>
  <c r="AR194" i="4"/>
  <c r="BY194" i="4"/>
  <c r="AT196" i="4"/>
  <c r="AT200" i="4"/>
  <c r="AV201" i="4"/>
  <c r="CB201" i="4"/>
  <c r="G204" i="4"/>
  <c r="AR204" i="4"/>
  <c r="U205" i="4"/>
  <c r="AT205" i="4"/>
  <c r="U208" i="4"/>
  <c r="AT208" i="4"/>
  <c r="AR210" i="4"/>
  <c r="T212" i="4"/>
  <c r="G213" i="4"/>
  <c r="AR213" i="4"/>
  <c r="BI215" i="4"/>
  <c r="AA218" i="4"/>
  <c r="AA24" i="4"/>
  <c r="BZ223" i="4"/>
  <c r="BZ225" i="4"/>
  <c r="BZ227" i="4"/>
  <c r="T228" i="4"/>
  <c r="AR228" i="4"/>
  <c r="S228" i="4"/>
  <c r="G228" i="4"/>
  <c r="W228" i="4"/>
  <c r="Y228" i="4"/>
  <c r="R228" i="4"/>
  <c r="BI228" i="4"/>
  <c r="BZ230" i="4"/>
  <c r="BZ231" i="4"/>
  <c r="T232" i="4"/>
  <c r="AR232" i="4"/>
  <c r="S232" i="4"/>
  <c r="G232" i="4"/>
  <c r="W232" i="4"/>
  <c r="Y232" i="4"/>
  <c r="R232" i="4"/>
  <c r="CJ232" i="4"/>
  <c r="BI232" i="4"/>
  <c r="AS194" i="4"/>
  <c r="AT197" i="4"/>
  <c r="AT203" i="4"/>
  <c r="U212" i="4"/>
  <c r="AT212" i="4"/>
  <c r="BZ214" i="4"/>
  <c r="T220" i="4"/>
  <c r="W220" i="4"/>
  <c r="Y220" i="4"/>
  <c r="R220" i="4"/>
  <c r="G220" i="4"/>
  <c r="BZ221" i="4"/>
  <c r="W222" i="4"/>
  <c r="Y222" i="4"/>
  <c r="R222" i="4"/>
  <c r="G222" i="4"/>
  <c r="AT222" i="4"/>
  <c r="U222" i="4"/>
  <c r="T222" i="4"/>
  <c r="BZ222" i="4"/>
  <c r="T223" i="4"/>
  <c r="AR223" i="4"/>
  <c r="S223" i="4"/>
  <c r="G223" i="4"/>
  <c r="W223" i="4"/>
  <c r="Y223" i="4"/>
  <c r="R223" i="4"/>
  <c r="BI223" i="4"/>
  <c r="S233" i="4"/>
  <c r="G233" i="4"/>
  <c r="U233" i="4"/>
  <c r="AT233" i="4"/>
  <c r="T233" i="4"/>
  <c r="R233" i="4"/>
  <c r="G183" i="4"/>
  <c r="S183" i="4"/>
  <c r="CJ183" i="4"/>
  <c r="U185" i="4"/>
  <c r="G187" i="4"/>
  <c r="S187" i="4"/>
  <c r="AO189" i="4"/>
  <c r="G193" i="4"/>
  <c r="W194" i="4"/>
  <c r="Y194" i="4"/>
  <c r="BG194" i="4"/>
  <c r="BI194" i="4"/>
  <c r="BW194" i="4"/>
  <c r="BZ194" i="4"/>
  <c r="G196" i="4"/>
  <c r="G200" i="4"/>
  <c r="S205" i="4"/>
  <c r="U207" i="4"/>
  <c r="CJ207" i="4"/>
  <c r="G208" i="4"/>
  <c r="S208" i="4"/>
  <c r="R212" i="4"/>
  <c r="S220" i="4"/>
  <c r="AT220" i="4"/>
  <c r="BI227" i="4"/>
  <c r="BZ235" i="4"/>
  <c r="G215" i="4"/>
  <c r="AR215" i="4"/>
  <c r="AS218" i="4"/>
  <c r="U219" i="4"/>
  <c r="AT219" i="4"/>
  <c r="U224" i="4"/>
  <c r="CJ224" i="4"/>
  <c r="AS224" i="4"/>
  <c r="BF224" i="4"/>
  <c r="BI224" i="4"/>
  <c r="BV224" i="4"/>
  <c r="AT226" i="4"/>
  <c r="T227" i="4"/>
  <c r="U229" i="4"/>
  <c r="AT229" i="4"/>
  <c r="T230" i="4"/>
  <c r="AS233" i="4"/>
  <c r="BI236" i="4"/>
  <c r="BZ241" i="4"/>
  <c r="T242" i="4"/>
  <c r="AR242" i="4"/>
  <c r="S242" i="4"/>
  <c r="W242" i="4"/>
  <c r="Y242" i="4"/>
  <c r="R242" i="4"/>
  <c r="G242" i="4"/>
  <c r="BZ244" i="4"/>
  <c r="AR245" i="4"/>
  <c r="S245" i="4"/>
  <c r="U245" i="4"/>
  <c r="T245" i="4"/>
  <c r="AT245" i="4"/>
  <c r="R245" i="4"/>
  <c r="G245" i="4"/>
  <c r="BI257" i="4"/>
  <c r="U227" i="4"/>
  <c r="AT227" i="4"/>
  <c r="U230" i="4"/>
  <c r="AT230" i="4"/>
  <c r="BM233" i="4"/>
  <c r="BN233" i="4"/>
  <c r="AV233" i="4"/>
  <c r="AO233" i="4"/>
  <c r="BJ233" i="4"/>
  <c r="BY233" i="4"/>
  <c r="BZ233" i="4"/>
  <c r="U242" i="4"/>
  <c r="BI244" i="4"/>
  <c r="W245" i="4"/>
  <c r="Y245" i="4"/>
  <c r="AR258" i="4"/>
  <c r="W258" i="4"/>
  <c r="Y258" i="4"/>
  <c r="G258" i="4"/>
  <c r="AT258" i="4"/>
  <c r="W262" i="4"/>
  <c r="Y262" i="4"/>
  <c r="AR262" i="4"/>
  <c r="G262" i="4"/>
  <c r="AT262" i="4"/>
  <c r="S219" i="4"/>
  <c r="CJ219" i="4"/>
  <c r="U221" i="4"/>
  <c r="G224" i="4"/>
  <c r="AO224" i="4"/>
  <c r="BJ224" i="4"/>
  <c r="AV224" i="4"/>
  <c r="U225" i="4"/>
  <c r="G227" i="4"/>
  <c r="R227" i="4"/>
  <c r="G229" i="4"/>
  <c r="S229" i="4"/>
  <c r="R230" i="4"/>
  <c r="U231" i="4"/>
  <c r="H233" i="4"/>
  <c r="BL233" i="4"/>
  <c r="AR235" i="4"/>
  <c r="S235" i="4"/>
  <c r="CJ235" i="4"/>
  <c r="W235" i="4"/>
  <c r="Y235" i="4"/>
  <c r="BZ237" i="4"/>
  <c r="T238" i="4"/>
  <c r="W238" i="4"/>
  <c r="Y238" i="4"/>
  <c r="R238" i="4"/>
  <c r="G238" i="4"/>
  <c r="BI238" i="4"/>
  <c r="BZ239" i="4"/>
  <c r="W240" i="4"/>
  <c r="Y240" i="4"/>
  <c r="R240" i="4"/>
  <c r="G240" i="4"/>
  <c r="T240" i="4"/>
  <c r="BI240" i="4"/>
  <c r="AT242" i="4"/>
  <c r="CJ243" i="4"/>
  <c r="BZ246" i="4"/>
  <c r="AR249" i="4"/>
  <c r="W249" i="4"/>
  <c r="Y249" i="4"/>
  <c r="G249" i="4"/>
  <c r="AT249" i="4"/>
  <c r="BZ259" i="4"/>
  <c r="U237" i="4"/>
  <c r="AT237" i="4"/>
  <c r="U241" i="4"/>
  <c r="AT241" i="4"/>
  <c r="T244" i="4"/>
  <c r="U246" i="4"/>
  <c r="AT246" i="4"/>
  <c r="BI250" i="4"/>
  <c r="BZ251" i="4"/>
  <c r="W252" i="4"/>
  <c r="Y252" i="4"/>
  <c r="G252" i="4"/>
  <c r="AT252" i="4"/>
  <c r="BZ260" i="4"/>
  <c r="U244" i="4"/>
  <c r="AT244" i="4"/>
  <c r="W246" i="4"/>
  <c r="Y246" i="4"/>
  <c r="CJ249" i="4"/>
  <c r="BZ256" i="4"/>
  <c r="BI261" i="4"/>
  <c r="U234" i="4"/>
  <c r="CJ234" i="4"/>
  <c r="S237" i="4"/>
  <c r="CJ237" i="4"/>
  <c r="U239" i="4"/>
  <c r="CJ239" i="4"/>
  <c r="S241" i="4"/>
  <c r="CJ241" i="4"/>
  <c r="U243" i="4"/>
  <c r="G244" i="4"/>
  <c r="R244" i="4"/>
  <c r="CJ244" i="4"/>
  <c r="G246" i="4"/>
  <c r="R246" i="4"/>
  <c r="AR246" i="4"/>
  <c r="BZ248" i="4"/>
  <c r="AT250" i="4"/>
  <c r="BI251" i="4"/>
  <c r="AR252" i="4"/>
  <c r="BY253" i="4"/>
  <c r="BZ253" i="4"/>
  <c r="BM253" i="4"/>
  <c r="BN253" i="4"/>
  <c r="AV253" i="4"/>
  <c r="AO253" i="4"/>
  <c r="BJ253" i="4"/>
  <c r="H253" i="4"/>
  <c r="BL253" i="4"/>
  <c r="BI253" i="4"/>
  <c r="BZ254" i="4"/>
  <c r="AR255" i="4"/>
  <c r="W255" i="4"/>
  <c r="Y255" i="4"/>
  <c r="G255" i="4"/>
  <c r="BI255" i="4"/>
  <c r="W257" i="4"/>
  <c r="Y257" i="4"/>
  <c r="AT257" i="4"/>
  <c r="G257" i="4"/>
  <c r="BI259" i="4"/>
  <c r="BI262" i="4"/>
  <c r="BI263" i="4"/>
  <c r="U248" i="4"/>
  <c r="CJ248" i="4"/>
  <c r="T251" i="4"/>
  <c r="W263" i="4"/>
  <c r="Y263" i="4"/>
  <c r="U251" i="4"/>
  <c r="G263" i="4"/>
  <c r="AR263" i="4"/>
  <c r="AB267" i="4"/>
  <c r="AB272" i="4"/>
  <c r="AB281" i="4"/>
  <c r="AB25" i="4"/>
  <c r="R21" i="4"/>
  <c r="CJ21" i="4"/>
  <c r="CJ188" i="4"/>
  <c r="AF272" i="4"/>
  <c r="AF267" i="4"/>
  <c r="AF25" i="4"/>
  <c r="AF281" i="4"/>
  <c r="Z267" i="4"/>
  <c r="Z281" i="4"/>
  <c r="Z272" i="4"/>
  <c r="Z25" i="4"/>
  <c r="BZ111" i="4"/>
  <c r="Y106" i="4"/>
  <c r="AV106" i="4"/>
  <c r="O18" i="4"/>
  <c r="AH18" i="4"/>
  <c r="AH25" i="4"/>
  <c r="V25" i="4"/>
  <c r="BF218" i="4"/>
  <c r="BI218" i="4"/>
  <c r="AI24" i="4"/>
  <c r="BM218" i="4"/>
  <c r="BN218" i="4"/>
  <c r="BF188" i="4"/>
  <c r="AI21" i="4"/>
  <c r="BF21" i="4"/>
  <c r="AJ18" i="4"/>
  <c r="CJ229" i="4"/>
  <c r="CJ225" i="4"/>
  <c r="CJ172" i="4"/>
  <c r="BZ224" i="4"/>
  <c r="CB169" i="4"/>
  <c r="AO169" i="4"/>
  <c r="BI141" i="4"/>
  <c r="AN105" i="4"/>
  <c r="AN56" i="4"/>
  <c r="AN20" i="4"/>
  <c r="AS106" i="4"/>
  <c r="CJ28" i="4"/>
  <c r="BI27" i="4"/>
  <c r="V281" i="4"/>
  <c r="CJ52" i="4"/>
  <c r="CB218" i="4"/>
  <c r="BE188" i="4"/>
  <c r="AG21" i="4"/>
  <c r="BE21" i="4"/>
  <c r="CJ221" i="4"/>
  <c r="L188" i="4"/>
  <c r="AR188" i="4"/>
  <c r="CJ231" i="4"/>
  <c r="CJ205" i="4"/>
  <c r="CJ187" i="4"/>
  <c r="CJ180" i="4"/>
  <c r="CJ176" i="4"/>
  <c r="CJ173" i="4"/>
  <c r="CJ154" i="4"/>
  <c r="CJ206" i="4"/>
  <c r="AV169" i="4"/>
  <c r="AI162" i="4"/>
  <c r="BF162" i="4"/>
  <c r="CJ171" i="4"/>
  <c r="X18" i="4"/>
  <c r="X25" i="4"/>
  <c r="P18" i="4"/>
  <c r="AR41" i="4"/>
  <c r="G41" i="4"/>
  <c r="BH188" i="4"/>
  <c r="AM21" i="4"/>
  <c r="BH21" i="4"/>
  <c r="AO34" i="4"/>
  <c r="AO26" i="4"/>
  <c r="AO19" i="4"/>
  <c r="CJ227" i="4"/>
  <c r="CJ223" i="4"/>
  <c r="T146" i="4"/>
  <c r="T141" i="4"/>
  <c r="CJ160" i="4"/>
  <c r="S106" i="4"/>
  <c r="S105" i="4"/>
  <c r="CJ208" i="4"/>
  <c r="CJ233" i="4"/>
  <c r="U201" i="4"/>
  <c r="U22" i="4"/>
  <c r="CJ158" i="4"/>
  <c r="CJ184" i="4"/>
  <c r="CJ156" i="4"/>
  <c r="S146" i="4"/>
  <c r="S141" i="4"/>
  <c r="W146" i="4"/>
  <c r="W141" i="4"/>
  <c r="CJ112" i="4"/>
  <c r="AN26" i="4"/>
  <c r="AN19" i="4"/>
  <c r="AA162" i="4"/>
  <c r="Y146" i="4"/>
  <c r="X281" i="4"/>
  <c r="N272" i="4"/>
  <c r="N267" i="4"/>
  <c r="N281" i="4"/>
  <c r="N25" i="4"/>
  <c r="P272" i="4"/>
  <c r="P267" i="4"/>
  <c r="P281" i="4"/>
  <c r="P25" i="4"/>
  <c r="O281" i="4"/>
  <c r="O272" i="4"/>
  <c r="O267" i="4"/>
  <c r="O25" i="4"/>
  <c r="AH267" i="4"/>
  <c r="AH281" i="4"/>
  <c r="M18" i="4"/>
  <c r="AE20" i="4"/>
  <c r="R57" i="4"/>
  <c r="CJ57" i="4"/>
  <c r="CJ59" i="4"/>
  <c r="AL272" i="4"/>
  <c r="AL267" i="4"/>
  <c r="AL281" i="4"/>
  <c r="AL25" i="4"/>
  <c r="W163" i="4"/>
  <c r="AR163" i="4"/>
  <c r="CJ108" i="4"/>
  <c r="CJ150" i="4"/>
  <c r="CB141" i="4"/>
  <c r="L105" i="4"/>
  <c r="AR105" i="4"/>
  <c r="AR106" i="4"/>
  <c r="AR36" i="4"/>
  <c r="L35" i="4"/>
  <c r="AT35" i="4"/>
  <c r="AR27" i="4"/>
  <c r="Y116" i="4"/>
  <c r="AR59" i="4"/>
  <c r="L57" i="4"/>
  <c r="BI36" i="4"/>
  <c r="CJ170" i="4"/>
  <c r="R169" i="4"/>
  <c r="T169" i="4"/>
  <c r="T162" i="4"/>
  <c r="Y217" i="4"/>
  <c r="Y23" i="4"/>
  <c r="W23" i="4"/>
  <c r="AN188" i="4"/>
  <c r="AN21" i="4"/>
  <c r="AD21" i="4"/>
  <c r="AD18" i="4"/>
  <c r="CJ230" i="4"/>
  <c r="T218" i="4"/>
  <c r="T24" i="4"/>
  <c r="CJ228" i="4"/>
  <c r="CJ175" i="4"/>
  <c r="W189" i="4"/>
  <c r="AR189" i="4"/>
  <c r="AR202" i="4"/>
  <c r="W202" i="4"/>
  <c r="G202" i="4"/>
  <c r="AT202" i="4"/>
  <c r="J141" i="4"/>
  <c r="J56" i="4"/>
  <c r="J20" i="4"/>
  <c r="J18" i="4"/>
  <c r="BM141" i="4"/>
  <c r="BN141" i="4"/>
  <c r="CJ161" i="4"/>
  <c r="CJ157" i="4"/>
  <c r="CJ149" i="4"/>
  <c r="BI111" i="4"/>
  <c r="U106" i="4"/>
  <c r="U105" i="4"/>
  <c r="BF106" i="4"/>
  <c r="AI105" i="4"/>
  <c r="CB105" i="4"/>
  <c r="U26" i="4"/>
  <c r="U19" i="4"/>
  <c r="CJ27" i="4"/>
  <c r="CB106" i="4"/>
  <c r="BG57" i="4"/>
  <c r="AK56" i="4"/>
  <c r="BZ39" i="4"/>
  <c r="Y29" i="4"/>
  <c r="Y27" i="4"/>
  <c r="W27" i="4"/>
  <c r="Y60" i="4"/>
  <c r="Y59" i="4"/>
  <c r="Y57" i="4"/>
  <c r="W59" i="4"/>
  <c r="W57" i="4"/>
  <c r="Y40" i="4"/>
  <c r="Y39" i="4"/>
  <c r="W39" i="4"/>
  <c r="BW35" i="4"/>
  <c r="BG35" i="4"/>
  <c r="BS35" i="4"/>
  <c r="AC34" i="4"/>
  <c r="AC26" i="4"/>
  <c r="AC19" i="4"/>
  <c r="AC18" i="4"/>
  <c r="BJ35" i="4"/>
  <c r="Y170" i="4"/>
  <c r="Y169" i="4"/>
  <c r="W169" i="4"/>
  <c r="CJ148" i="4"/>
  <c r="AS57" i="4"/>
  <c r="AA57" i="4"/>
  <c r="CB57" i="4"/>
  <c r="AV57" i="4"/>
  <c r="Q56" i="4"/>
  <c r="AO162" i="4"/>
  <c r="CB162" i="4"/>
  <c r="AV162" i="4"/>
  <c r="AS162" i="4"/>
  <c r="CJ240" i="4"/>
  <c r="CJ245" i="4"/>
  <c r="CJ242" i="4"/>
  <c r="U218" i="4"/>
  <c r="U24" i="4"/>
  <c r="W218" i="4"/>
  <c r="W24" i="4"/>
  <c r="CJ181" i="4"/>
  <c r="BM162" i="4"/>
  <c r="BN162" i="4"/>
  <c r="Y191" i="4"/>
  <c r="T209" i="4"/>
  <c r="T201" i="4"/>
  <c r="T22" i="4"/>
  <c r="AR209" i="4"/>
  <c r="S209" i="4"/>
  <c r="W209" i="4"/>
  <c r="Y209" i="4"/>
  <c r="R209" i="4"/>
  <c r="AT209" i="4"/>
  <c r="G209" i="4"/>
  <c r="U146" i="4"/>
  <c r="U141" i="4"/>
  <c r="BI162" i="4"/>
  <c r="Y141" i="4"/>
  <c r="R106" i="4"/>
  <c r="AS141" i="4"/>
  <c r="AO141" i="4"/>
  <c r="BJ109" i="4"/>
  <c r="AO106" i="4"/>
  <c r="AO105" i="4"/>
  <c r="W106" i="4"/>
  <c r="W116" i="4"/>
  <c r="CJ111" i="4"/>
  <c r="CJ115" i="4"/>
  <c r="CJ107" i="4"/>
  <c r="W36" i="4"/>
  <c r="W35" i="4"/>
  <c r="Y37" i="4"/>
  <c r="Y36" i="4"/>
  <c r="BH35" i="4"/>
  <c r="BX35" i="4"/>
  <c r="AE26" i="4"/>
  <c r="AE19" i="4"/>
  <c r="BT35" i="4"/>
  <c r="F35" i="4"/>
  <c r="K34" i="4"/>
  <c r="BR35" i="4"/>
  <c r="BM35" i="4"/>
  <c r="BN35" i="4"/>
  <c r="L116" i="4"/>
  <c r="AR116" i="4"/>
  <c r="BE57" i="4"/>
  <c r="AG56" i="4"/>
  <c r="CJ155" i="4"/>
  <c r="BY35" i="4"/>
  <c r="AS35" i="4"/>
  <c r="CB35" i="4"/>
  <c r="AV35" i="4"/>
  <c r="H35" i="4"/>
  <c r="BL35" i="4"/>
  <c r="Q34" i="4"/>
  <c r="CJ35" i="4"/>
  <c r="U169" i="4"/>
  <c r="U162" i="4"/>
  <c r="BM57" i="4"/>
  <c r="BN57" i="4"/>
  <c r="CJ246" i="4"/>
  <c r="CJ238" i="4"/>
  <c r="S218" i="4"/>
  <c r="S24" i="4"/>
  <c r="CJ212" i="4"/>
  <c r="S201" i="4"/>
  <c r="S22" i="4"/>
  <c r="CJ222" i="4"/>
  <c r="R218" i="4"/>
  <c r="CJ220" i="4"/>
  <c r="BG191" i="4"/>
  <c r="BI191" i="4"/>
  <c r="BM191" i="4"/>
  <c r="BN191" i="4"/>
  <c r="AK188" i="4"/>
  <c r="AV191" i="4"/>
  <c r="CB191" i="4"/>
  <c r="CJ185" i="4"/>
  <c r="Y218" i="4"/>
  <c r="Y24" i="4"/>
  <c r="AS191" i="4"/>
  <c r="W191" i="4"/>
  <c r="CJ186" i="4"/>
  <c r="AR162" i="4"/>
  <c r="L201" i="4"/>
  <c r="CJ178" i="4"/>
  <c r="R146" i="4"/>
  <c r="CJ159" i="4"/>
  <c r="CJ147" i="4"/>
  <c r="K56" i="4"/>
  <c r="AV141" i="4"/>
  <c r="AR141" i="4"/>
  <c r="AM105" i="4"/>
  <c r="BH106" i="4"/>
  <c r="CJ113" i="4"/>
  <c r="BM106" i="4"/>
  <c r="BN106" i="4"/>
  <c r="AS105" i="4"/>
  <c r="AA105" i="4"/>
  <c r="AA106" i="4"/>
  <c r="BF35" i="4"/>
  <c r="BV35" i="4"/>
  <c r="AO57" i="4"/>
  <c r="BZ36" i="4"/>
  <c r="BI59" i="4"/>
  <c r="W49" i="4"/>
  <c r="W46" i="4"/>
  <c r="Y50" i="4"/>
  <c r="Y49" i="4"/>
  <c r="Y46" i="4"/>
  <c r="T106" i="4"/>
  <c r="T105" i="4"/>
  <c r="R34" i="4"/>
  <c r="R26" i="4"/>
  <c r="R19" i="4"/>
  <c r="CJ41" i="4"/>
  <c r="BU35" i="4"/>
  <c r="BE35" i="4"/>
  <c r="AT36" i="4"/>
  <c r="S169" i="4"/>
  <c r="S162" i="4"/>
  <c r="S56" i="4"/>
  <c r="S20" i="4"/>
  <c r="S18" i="4"/>
  <c r="M56" i="4"/>
  <c r="M20" i="4"/>
  <c r="L21" i="4"/>
  <c r="AR21" i="4"/>
  <c r="AQ18" i="4"/>
  <c r="AH272" i="4"/>
  <c r="X272" i="4"/>
  <c r="AJ267" i="4"/>
  <c r="AJ281" i="4"/>
  <c r="AJ272" i="4"/>
  <c r="AJ25" i="4"/>
  <c r="BF24" i="4"/>
  <c r="BI24" i="4"/>
  <c r="AV24" i="4"/>
  <c r="CB24" i="4"/>
  <c r="AS24" i="4"/>
  <c r="BM24" i="4"/>
  <c r="BN24" i="4"/>
  <c r="W34" i="4"/>
  <c r="AV105" i="4"/>
  <c r="X267" i="4"/>
  <c r="Y105" i="4"/>
  <c r="BI57" i="4"/>
  <c r="T56" i="4"/>
  <c r="T20" i="4"/>
  <c r="T18" i="4"/>
  <c r="T281" i="4"/>
  <c r="BI106" i="4"/>
  <c r="AN18" i="4"/>
  <c r="AN281" i="4"/>
  <c r="Y35" i="4"/>
  <c r="AE18" i="4"/>
  <c r="AE272" i="4"/>
  <c r="AD272" i="4"/>
  <c r="AD267" i="4"/>
  <c r="AD281" i="4"/>
  <c r="AD25" i="4"/>
  <c r="T272" i="4"/>
  <c r="S281" i="4"/>
  <c r="S272" i="4"/>
  <c r="S267" i="4"/>
  <c r="S25" i="4"/>
  <c r="W105" i="4"/>
  <c r="W56" i="4"/>
  <c r="W20" i="4"/>
  <c r="AC281" i="4"/>
  <c r="AC272" i="4"/>
  <c r="AC267" i="4"/>
  <c r="AC25" i="4"/>
  <c r="BS18" i="4"/>
  <c r="AK20" i="4"/>
  <c r="BG20" i="4"/>
  <c r="BG56" i="4"/>
  <c r="U56" i="4"/>
  <c r="U20" i="4"/>
  <c r="U18" i="4"/>
  <c r="R162" i="4"/>
  <c r="CJ162" i="4"/>
  <c r="CJ169" i="4"/>
  <c r="AR35" i="4"/>
  <c r="G35" i="4"/>
  <c r="L34" i="4"/>
  <c r="W162" i="4"/>
  <c r="Y163" i="4"/>
  <c r="Y162" i="4"/>
  <c r="Y56" i="4"/>
  <c r="Y20" i="4"/>
  <c r="BE34" i="4"/>
  <c r="AG26" i="4"/>
  <c r="AR201" i="4"/>
  <c r="L22" i="4"/>
  <c r="AR22" i="4"/>
  <c r="BM34" i="4"/>
  <c r="BN34" i="4"/>
  <c r="K26" i="4"/>
  <c r="L56" i="4"/>
  <c r="AR57" i="4"/>
  <c r="BF34" i="4"/>
  <c r="AI26" i="4"/>
  <c r="BG188" i="4"/>
  <c r="BI188" i="4"/>
  <c r="AK21" i="4"/>
  <c r="AV188" i="4"/>
  <c r="BM188" i="4"/>
  <c r="BN188" i="4"/>
  <c r="CB188" i="4"/>
  <c r="AO188" i="4"/>
  <c r="AO21" i="4"/>
  <c r="AS188" i="4"/>
  <c r="R24" i="4"/>
  <c r="CJ24" i="4"/>
  <c r="CJ218" i="4"/>
  <c r="CJ209" i="4"/>
  <c r="R201" i="4"/>
  <c r="K20" i="4"/>
  <c r="R141" i="4"/>
  <c r="CJ141" i="4"/>
  <c r="CJ146" i="4"/>
  <c r="BH34" i="4"/>
  <c r="AM26" i="4"/>
  <c r="R105" i="4"/>
  <c r="CJ105" i="4"/>
  <c r="CJ106" i="4"/>
  <c r="W26" i="4"/>
  <c r="W19" i="4"/>
  <c r="J272" i="4"/>
  <c r="J267" i="4"/>
  <c r="J281" i="4"/>
  <c r="J25" i="4"/>
  <c r="Y202" i="4"/>
  <c r="Y201" i="4"/>
  <c r="Y22" i="4"/>
  <c r="W201" i="4"/>
  <c r="W22" i="4"/>
  <c r="AS34" i="4"/>
  <c r="CJ34" i="4"/>
  <c r="CB34" i="4"/>
  <c r="AV34" i="4"/>
  <c r="Q26" i="4"/>
  <c r="M281" i="4"/>
  <c r="M272" i="4"/>
  <c r="M267" i="4"/>
  <c r="M25" i="4"/>
  <c r="BI35" i="4"/>
  <c r="BH105" i="4"/>
  <c r="AM56" i="4"/>
  <c r="BM105" i="4"/>
  <c r="BN105" i="4"/>
  <c r="BE56" i="4"/>
  <c r="AG20" i="4"/>
  <c r="BE20" i="4"/>
  <c r="BZ35" i="4"/>
  <c r="Y34" i="4"/>
  <c r="Y26" i="4"/>
  <c r="Y19" i="4"/>
  <c r="AA56" i="4"/>
  <c r="AA20" i="4"/>
  <c r="Q20" i="4"/>
  <c r="BG34" i="4"/>
  <c r="AK26" i="4"/>
  <c r="BF105" i="4"/>
  <c r="AI56" i="4"/>
  <c r="AV56" i="4"/>
  <c r="Y189" i="4"/>
  <c r="Y188" i="4"/>
  <c r="Y21" i="4"/>
  <c r="W188" i="4"/>
  <c r="W21" i="4"/>
  <c r="BI105" i="4"/>
  <c r="T25" i="4"/>
  <c r="T267" i="4"/>
  <c r="AE281" i="4"/>
  <c r="BT18" i="4"/>
  <c r="AE25" i="4"/>
  <c r="AE267" i="4"/>
  <c r="AN272" i="4"/>
  <c r="AS18" i="4"/>
  <c r="AN267" i="4"/>
  <c r="AU18" i="4"/>
  <c r="AN25" i="4"/>
  <c r="Y18" i="4"/>
  <c r="Y272" i="4"/>
  <c r="BM26" i="4"/>
  <c r="BN26" i="4"/>
  <c r="K19" i="4"/>
  <c r="AO56" i="4"/>
  <c r="AO20" i="4"/>
  <c r="AO18" i="4"/>
  <c r="AS56" i="4"/>
  <c r="BH56" i="4"/>
  <c r="AM20" i="4"/>
  <c r="BH20" i="4"/>
  <c r="BI20" i="4"/>
  <c r="BG21" i="4"/>
  <c r="BI21" i="4"/>
  <c r="BM21" i="4"/>
  <c r="BN21" i="4"/>
  <c r="CB21" i="4"/>
  <c r="AS21" i="4"/>
  <c r="AV21" i="4"/>
  <c r="BI34" i="4"/>
  <c r="AR34" i="4"/>
  <c r="L26" i="4"/>
  <c r="BF56" i="4"/>
  <c r="BI56" i="4"/>
  <c r="AI20" i="4"/>
  <c r="BF20" i="4"/>
  <c r="AS26" i="4"/>
  <c r="AA26" i="4"/>
  <c r="AA19" i="4"/>
  <c r="AA18" i="4"/>
  <c r="CJ26" i="4"/>
  <c r="Q19" i="4"/>
  <c r="CB26" i="4"/>
  <c r="AV26" i="4"/>
  <c r="AV20" i="4"/>
  <c r="CB56" i="4"/>
  <c r="BH26" i="4"/>
  <c r="AM19" i="4"/>
  <c r="AR56" i="4"/>
  <c r="L20" i="4"/>
  <c r="AR20" i="4"/>
  <c r="R56" i="4"/>
  <c r="R22" i="4"/>
  <c r="CJ22" i="4"/>
  <c r="CJ201" i="4"/>
  <c r="BE26" i="4"/>
  <c r="AG19" i="4"/>
  <c r="BG26" i="4"/>
  <c r="AK19" i="4"/>
  <c r="W18" i="4"/>
  <c r="BM56" i="4"/>
  <c r="BN56" i="4"/>
  <c r="BF26" i="4"/>
  <c r="AI19" i="4"/>
  <c r="U281" i="4"/>
  <c r="U272" i="4"/>
  <c r="U267" i="4"/>
  <c r="U25" i="4"/>
  <c r="Y25" i="4"/>
  <c r="Y281" i="4"/>
  <c r="Y267" i="4"/>
  <c r="AK18" i="4"/>
  <c r="BG19" i="4"/>
  <c r="BM20" i="4"/>
  <c r="BN20" i="4"/>
  <c r="CB20" i="4"/>
  <c r="AO281" i="4"/>
  <c r="AO272" i="4"/>
  <c r="AO267" i="4"/>
  <c r="AO25" i="4"/>
  <c r="BE19" i="4"/>
  <c r="AG18" i="4"/>
  <c r="AA281" i="4"/>
  <c r="AA272" i="4"/>
  <c r="AA267" i="4"/>
  <c r="AA25" i="4"/>
  <c r="AR26" i="4"/>
  <c r="L19" i="4"/>
  <c r="K18" i="4"/>
  <c r="BM19" i="4"/>
  <c r="BN19" i="4"/>
  <c r="CJ19" i="4"/>
  <c r="CB19" i="4"/>
  <c r="AV19" i="4"/>
  <c r="AS19" i="4"/>
  <c r="Q18" i="4"/>
  <c r="W281" i="4"/>
  <c r="W272" i="4"/>
  <c r="W267" i="4"/>
  <c r="W25" i="4"/>
  <c r="R20" i="4"/>
  <c r="CJ56" i="4"/>
  <c r="BH19" i="4"/>
  <c r="AM18" i="4"/>
  <c r="AS20" i="4"/>
  <c r="BF19" i="4"/>
  <c r="AI18" i="4"/>
  <c r="BI26" i="4"/>
  <c r="R18" i="4"/>
  <c r="CJ20" i="4"/>
  <c r="L18" i="4"/>
  <c r="AR19" i="4"/>
  <c r="AM281" i="4"/>
  <c r="AM267" i="4"/>
  <c r="BH18" i="4"/>
  <c r="AV18" i="4"/>
  <c r="AM272" i="4"/>
  <c r="AM25" i="4"/>
  <c r="BH25" i="4"/>
  <c r="BX18" i="4"/>
  <c r="AI281" i="4"/>
  <c r="AI272" i="4"/>
  <c r="AI267" i="4"/>
  <c r="BV18" i="4"/>
  <c r="AW18" i="4"/>
  <c r="AI25" i="4"/>
  <c r="BF25" i="4"/>
  <c r="AR18" i="4"/>
  <c r="BF18" i="4"/>
  <c r="AG281" i="4"/>
  <c r="AG272" i="4"/>
  <c r="AG267" i="4"/>
  <c r="BE18" i="4"/>
  <c r="BU18" i="4"/>
  <c r="AG25" i="4"/>
  <c r="BE25" i="4"/>
  <c r="Q281" i="4"/>
  <c r="Q272" i="4"/>
  <c r="Q267" i="4"/>
  <c r="BY18" i="4"/>
  <c r="Q25" i="4"/>
  <c r="CJ18" i="4"/>
  <c r="CB18" i="4"/>
  <c r="K281" i="4"/>
  <c r="K272" i="4"/>
  <c r="K267" i="4"/>
  <c r="BR18" i="4"/>
  <c r="K25" i="4"/>
  <c r="BM18" i="4"/>
  <c r="BN18" i="4"/>
  <c r="BI19" i="4"/>
  <c r="AK281" i="4"/>
  <c r="AK272" i="4"/>
  <c r="AK267" i="4"/>
  <c r="AK25" i="4"/>
  <c r="BG25" i="4"/>
  <c r="BG18" i="4"/>
  <c r="BW18" i="4"/>
  <c r="AT18" i="4"/>
  <c r="BZ18" i="4"/>
  <c r="L272" i="4"/>
  <c r="L267" i="4"/>
  <c r="L281" i="4"/>
  <c r="L25" i="4"/>
  <c r="AR25" i="4"/>
  <c r="CB25" i="4"/>
  <c r="AV25" i="4"/>
  <c r="AS25" i="4"/>
  <c r="BI18" i="4"/>
  <c r="BM25" i="4"/>
  <c r="BN25" i="4"/>
  <c r="BI25" i="4"/>
  <c r="R272" i="4"/>
  <c r="R267" i="4"/>
  <c r="R281" i="4"/>
  <c r="R25" i="4"/>
  <c r="CJ25" i="4"/>
</calcChain>
</file>

<file path=xl/comments1.xml><?xml version="1.0" encoding="utf-8"?>
<comments xmlns="http://schemas.openxmlformats.org/spreadsheetml/2006/main">
  <authors>
    <author>Шайхутдинов Рустем Фаритович</author>
  </authors>
  <commentList>
    <comment ref="AK109" authorId="0" shapeId="0">
      <text>
        <r>
          <rPr>
            <b/>
            <sz val="9"/>
            <color indexed="81"/>
            <rFont val="Tahoma"/>
            <family val="2"/>
            <charset val="204"/>
          </rPr>
          <t>Шайхутдинов Рустем Фаритович:</t>
        </r>
        <r>
          <rPr>
            <sz val="9"/>
            <color indexed="81"/>
            <rFont val="Tahoma"/>
            <family val="2"/>
            <charset val="204"/>
          </rPr>
          <t xml:space="preserve">
+7 млн Апастовский РЭС (ПИР)</t>
        </r>
      </text>
    </comment>
    <comment ref="AM109" authorId="0" shapeId="0">
      <text>
        <r>
          <rPr>
            <b/>
            <sz val="12"/>
            <color indexed="81"/>
            <rFont val="Tahoma"/>
            <family val="2"/>
            <charset val="204"/>
          </rPr>
          <t>Шайхутдинов Рустем Фаритович:</t>
        </r>
        <r>
          <rPr>
            <sz val="12"/>
            <color indexed="81"/>
            <rFont val="Tahoma"/>
            <family val="2"/>
            <charset val="204"/>
          </rPr>
          <t xml:space="preserve">
+0,41 Апастовский РЭС ПИР</t>
        </r>
      </text>
    </comment>
    <comment ref="AI111" authorId="0" shapeId="0">
      <text>
        <r>
          <rPr>
            <b/>
            <sz val="14"/>
            <color indexed="81"/>
            <rFont val="Tahoma"/>
            <family val="2"/>
            <charset val="204"/>
          </rPr>
          <t>Шайхутдинов Рустем Фаритович:</t>
        </r>
        <r>
          <rPr>
            <sz val="14"/>
            <color indexed="81"/>
            <rFont val="Tahoma"/>
            <family val="2"/>
            <charset val="204"/>
          </rPr>
          <t xml:space="preserve">
ГЖФ + 46,877 и -60,3 авто</t>
        </r>
      </text>
    </comment>
    <comment ref="AK11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Шайхутдинов Рустем Фаритович:
В том числе 98 млн ГЖФ и 35,2 в КИСУ
</t>
        </r>
      </text>
    </comment>
    <comment ref="AK112" authorId="0" shapeId="0">
      <text>
        <r>
          <rPr>
            <b/>
            <sz val="9"/>
            <color indexed="81"/>
            <rFont val="Tahoma"/>
            <family val="2"/>
            <charset val="204"/>
          </rPr>
          <t>Шайхутдинов Рустем Фаритович:
В том числе 42 млн. ГЖФ</t>
        </r>
      </text>
    </comment>
    <comment ref="AK114" authorId="0" shapeId="0">
      <text>
        <r>
          <rPr>
            <b/>
            <sz val="16"/>
            <color indexed="81"/>
            <rFont val="Tahoma"/>
            <family val="2"/>
            <charset val="204"/>
          </rPr>
          <t>Шайхутдинов Рустем Фаритович:</t>
        </r>
        <r>
          <rPr>
            <sz val="16"/>
            <color indexed="81"/>
            <rFont val="Tahoma"/>
            <family val="2"/>
            <charset val="204"/>
          </rPr>
          <t xml:space="preserve">
Из общей суммы вывели 300 млн на ПС Каипы (были учтены в РС)</t>
        </r>
      </text>
    </comment>
    <comment ref="AI127" authorId="0" shapeId="0">
      <text>
        <r>
          <rPr>
            <b/>
            <sz val="12"/>
            <color indexed="81"/>
            <rFont val="Tahoma"/>
            <family val="2"/>
            <charset val="204"/>
          </rPr>
          <t>Шайхутдинов Рустем Фаритович:</t>
        </r>
        <r>
          <rPr>
            <sz val="12"/>
            <color indexed="81"/>
            <rFont val="Tahoma"/>
            <family val="2"/>
            <charset val="204"/>
          </rPr>
          <t xml:space="preserve">
+ 1,6 млн сумма по автомобильной дороге Москва-Уфа М7</t>
        </r>
      </text>
    </comment>
    <comment ref="AM180" authorId="0" shapeId="0">
      <text>
        <r>
          <rPr>
            <b/>
            <sz val="14"/>
            <color indexed="81"/>
            <rFont val="Tahoma"/>
            <family val="2"/>
            <charset val="204"/>
          </rPr>
          <t>Шайхутдинов Рустем Фаритович:</t>
        </r>
        <r>
          <rPr>
            <sz val="14"/>
            <color indexed="81"/>
            <rFont val="Tahoma"/>
            <family val="2"/>
            <charset val="204"/>
          </rPr>
          <t xml:space="preserve">
По всем объемам ДТУ приняты значения в соответствии с последней представленной информацией по служебке отменяющей все ранее направленные версии</t>
        </r>
      </text>
    </comment>
    <comment ref="AI252" authorId="0" shapeId="0">
      <text>
        <r>
          <rPr>
            <b/>
            <sz val="14"/>
            <color indexed="81"/>
            <rFont val="Tahoma"/>
            <family val="2"/>
            <charset val="204"/>
          </rPr>
          <t>Шайхутдинов Рустем Фаритович:</t>
        </r>
        <r>
          <rPr>
            <sz val="14"/>
            <color indexed="81"/>
            <rFont val="Tahoma"/>
            <family val="2"/>
            <charset val="204"/>
          </rPr>
          <t xml:space="preserve">
+60,3 млн авто</t>
        </r>
      </text>
    </comment>
    <comment ref="AI253" authorId="0" shapeId="0">
      <text>
        <r>
          <rPr>
            <b/>
            <sz val="14"/>
            <color indexed="81"/>
            <rFont val="Tahoma"/>
            <family val="2"/>
            <charset val="204"/>
          </rPr>
          <t>Шайхутдинов Рустем Фаритович:</t>
        </r>
        <r>
          <rPr>
            <sz val="14"/>
            <color indexed="81"/>
            <rFont val="Tahoma"/>
            <family val="2"/>
            <charset val="204"/>
          </rPr>
          <t xml:space="preserve">
Учтена сумма по приобретению Сетей ИННОПОЛИСА</t>
        </r>
      </text>
    </comment>
  </commentList>
</comments>
</file>

<file path=xl/sharedStrings.xml><?xml version="1.0" encoding="utf-8"?>
<sst xmlns="http://schemas.openxmlformats.org/spreadsheetml/2006/main" count="3295" uniqueCount="666">
  <si>
    <t>в базисном уровне цен</t>
  </si>
  <si>
    <t>Всего, в т.ч.:</t>
  </si>
  <si>
    <t>План</t>
  </si>
  <si>
    <t>в прогнозных ценах соответствующих лет</t>
  </si>
  <si>
    <t>проектно-изыскательские работы</t>
  </si>
  <si>
    <t>строительные работы, реконструкция, монтаж оборудования</t>
  </si>
  <si>
    <t xml:space="preserve">  Наименование инвестиционного проекта (группы инвестиционных проектов)</t>
  </si>
  <si>
    <t>оборудование</t>
  </si>
  <si>
    <t>прочие затраты</t>
  </si>
  <si>
    <t>Предложение по корректировке утвержденного плана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</si>
  <si>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</si>
  <si>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</si>
  <si>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</si>
  <si>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Предложение по корректировке утвержденного  плана</t>
  </si>
  <si>
    <t xml:space="preserve">                                                         полное наименование субъекта электроэнергетики</t>
  </si>
  <si>
    <t>Форма 3. План освоения капитальных вложений по инвестиционным проектам</t>
  </si>
  <si>
    <t>Краткое обоснование корректировки утвержденного плана</t>
  </si>
  <si>
    <t xml:space="preserve">План </t>
  </si>
  <si>
    <t>Итого за период реализации инвестиционной программы
(предложение по корректировке утвержденного плана)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</si>
  <si>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</si>
  <si>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</si>
  <si>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</si>
  <si>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</si>
  <si>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</si>
  <si>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</si>
  <si>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</si>
  <si>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</si>
  <si>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</si>
  <si>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</si>
  <si>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</si>
  <si>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</si>
  <si>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</si>
  <si>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</si>
  <si>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</si>
  <si>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</si>
  <si>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</si>
  <si>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</si>
  <si>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</si>
  <si>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</si>
  <si>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</si>
  <si>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</si>
  <si>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</si>
  <si>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</si>
  <si>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</si>
  <si>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</si>
  <si>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</si>
  <si>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</si>
  <si>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</si>
  <si>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</si>
  <si>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</si>
  <si>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</si>
  <si>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</si>
  <si>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</si>
  <si>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</si>
  <si>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</si>
  <si>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</si>
  <si>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</si>
  <si>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</si>
  <si>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</si>
  <si>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</si>
  <si>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</si>
  <si>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</si>
  <si>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</si>
  <si>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</si>
  <si>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</si>
  <si>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</si>
  <si>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</si>
  <si>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</si>
  <si>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</si>
  <si>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</si>
  <si>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</si>
  <si>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</si>
  <si>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</si>
  <si>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</si>
  <si>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</si>
  <si>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</si>
  <si>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</si>
  <si>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</si>
  <si>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</si>
  <si>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</si>
  <si>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</si>
  <si>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</si>
  <si>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</si>
  <si>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</si>
  <si>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</si>
  <si>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</si>
  <si>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</si>
  <si>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</si>
  <si>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</si>
  <si>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</si>
  <si>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</si>
  <si>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</si>
  <si>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</si>
  <si>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</si>
  <si>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</si>
  <si>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</si>
  <si>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</si>
  <si>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</si>
  <si>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</si>
  <si>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</si>
  <si>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</si>
  <si>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</si>
  <si>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</si>
  <si>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</si>
  <si>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</si>
  <si>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</si>
  <si>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</si>
  <si>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</si>
  <si>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</si>
  <si>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Реконструкция ПС 110 кВ Приволжская</t>
  </si>
  <si>
    <t>Реконструкция ПС 110 кВ Каргали</t>
  </si>
  <si>
    <t>Реконструкция ПС 110 кВ Азино</t>
  </si>
  <si>
    <t>Реконструкция ВЛ 110 кВ Чинчурино-Тетюши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</si>
  <si>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</si>
  <si>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</si>
  <si>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</si>
  <si>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</si>
  <si>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</si>
  <si>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</si>
  <si>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Идентификатор инвестиционного проекта</t>
  </si>
  <si>
    <t>№п/п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</si>
  <si>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цен, млн. рублей (без НДС)</t>
    </r>
  </si>
  <si>
    <t>Оценка полной стоимости в прогнозных ценах соответствующих лет, 
млн. рублей (без НДС)</t>
  </si>
  <si>
    <t>Остаток освоения капитальных вложений, 
млн. рублей (без НДС)</t>
  </si>
  <si>
    <t>Освоение капитальных вложений в прогнозных ценах соответствующих лет, млн. рублей  (без НДС)</t>
  </si>
  <si>
    <t>29.7</t>
  </si>
  <si>
    <t>29.8</t>
  </si>
  <si>
    <t>29.9</t>
  </si>
  <si>
    <t>29.10</t>
  </si>
  <si>
    <t>Г</t>
  </si>
  <si>
    <t>С</t>
  </si>
  <si>
    <t>нд</t>
  </si>
  <si>
    <t>2020 год</t>
  </si>
  <si>
    <t>2021 год</t>
  </si>
  <si>
    <t>2022 год</t>
  </si>
  <si>
    <t>2023 год</t>
  </si>
  <si>
    <t>2024 год</t>
  </si>
  <si>
    <t>Реконструкция ПС 35кВ Сарманово</t>
  </si>
  <si>
    <t>Реконструкция ПС 110 кВ Раково</t>
  </si>
  <si>
    <t>Реконструкция ПС 110 кВ Камское Устье</t>
  </si>
  <si>
    <t>Реконструкция ПС 110 кВ Тетюши</t>
  </si>
  <si>
    <t>Реконструкция ПС 110 кВ Майданы</t>
  </si>
  <si>
    <t>Реконструкция ПС 220 кВ Письмянка</t>
  </si>
  <si>
    <t xml:space="preserve">Реконструкция ПС 35 кВ Кучуково </t>
  </si>
  <si>
    <t>Реконструкция ПС 110 кВ Тойма-1</t>
  </si>
  <si>
    <t>Реконструкция ПС 110 кВ  Кукмор</t>
  </si>
  <si>
    <t>Реконструкция ВЛ 110 кВ Кирмени - Мамадыш</t>
  </si>
  <si>
    <t>Реконструкция  схемы электроснабжения ПС 110 кВ Горки</t>
  </si>
  <si>
    <t>Реконструкция  схемы электроснабжения ПС 110 кВ Советская</t>
  </si>
  <si>
    <t>Реконструкция ПС 110 кВ Водозабор</t>
  </si>
  <si>
    <t>Реконструкция ПС 110 кВ Искож</t>
  </si>
  <si>
    <t>Реконструкция ПС 110 кВ Северная</t>
  </si>
  <si>
    <t>Реконструкция ПС 110 кВ Заречье</t>
  </si>
  <si>
    <t>Реконструкция ПС 110 кВ Западная</t>
  </si>
  <si>
    <t>Реконструкция ВЛ 110 кВ Водозабор - Западная</t>
  </si>
  <si>
    <t xml:space="preserve">Реконструкция ПС 220 кВ Заводская </t>
  </si>
  <si>
    <t>Реконструкция ПС 110 кВ Б.Матаки</t>
  </si>
  <si>
    <t>Реконструкция ПС 35 кВ Часовая-1</t>
  </si>
  <si>
    <t>Реконструкция ВЛ 35 кВ Чистополь 220-Часовая-1</t>
  </si>
  <si>
    <t>Реконструкция ПС 35 кВ Судоремонтная</t>
  </si>
  <si>
    <t>Реконструкция ВЛ 35 кВ Чистополь 220 - Судоремонтная</t>
  </si>
  <si>
    <t>Реконструкция ВЛ 110 кВ Заинск - Каргали 1, 2</t>
  </si>
  <si>
    <t xml:space="preserve">Реконструкция ПС 220 кВ Азнакаево </t>
  </si>
  <si>
    <t>Реконструкция ПС 110кВ Карамалы</t>
  </si>
  <si>
    <t>Реконструкция ПС 110 кВ Мирная</t>
  </si>
  <si>
    <t>Реконструкция ПС 110 кВ Бройлерная</t>
  </si>
  <si>
    <t>Реконструкция ПС  110 кВ Шильна</t>
  </si>
  <si>
    <t>Реконструкция ПС  110 кВ ЗЯБ</t>
  </si>
  <si>
    <t xml:space="preserve">Реконструкция ПС 110 кВ Новый Кинер </t>
  </si>
  <si>
    <t xml:space="preserve">Реконструкция ПС 110 кВ Пестрецы </t>
  </si>
  <si>
    <t>Реконструкция ПС 110 кВ Антоновка</t>
  </si>
  <si>
    <t>Реконструкция ВЛ 35 кВ ПС Альметьевск - Промышленная</t>
  </si>
  <si>
    <t>Реконструкция ВЛ 220 кВ Нижнекамская - Чистополь 220</t>
  </si>
  <si>
    <t>Реконструкция ВЛ 110 кВ Узловая- Исмагилово</t>
  </si>
  <si>
    <t>Реконструкция ВЛ 110 кВ Исмагилово- Якеево</t>
  </si>
  <si>
    <t>Реконструкция КЛ 110кВ Крыловка - Западная</t>
  </si>
  <si>
    <t>Реконструкция ВЛ 110 кВ ТЭЦ-2 - Западная</t>
  </si>
  <si>
    <t>План на 01.01.2019 года</t>
  </si>
  <si>
    <t xml:space="preserve">Фактический объем освоения капитальных вложений на 01.01.2019 года,    млн. рублей 
(без НДС) </t>
  </si>
  <si>
    <t>Предложение по корректировке плана</t>
  </si>
  <si>
    <t xml:space="preserve">Реконструкция ВЛ 500 кВ ЗГРЭС - Куйбышевская </t>
  </si>
  <si>
    <t>П</t>
  </si>
  <si>
    <t>И</t>
  </si>
  <si>
    <t xml:space="preserve">Реконструкция автоматизированной системы учета электроэнергии на подстанциях РЭС уровня напряжения 35 кВ </t>
  </si>
  <si>
    <t xml:space="preserve">Реконструкция автоматизированной системы учета электроэнергии на подстанциях РЭС уровня напряжения 110 кВ и выше </t>
  </si>
  <si>
    <t xml:space="preserve">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</si>
  <si>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J_PS_KES_110_0016</t>
  </si>
  <si>
    <t>J_PS_KES_110_0017</t>
  </si>
  <si>
    <t>J_PS_KES_110_0018</t>
  </si>
  <si>
    <t xml:space="preserve">Реконструкция ПС 110 кВ Арск </t>
  </si>
  <si>
    <t>Реконструкция ПС 35 кВ Промзона</t>
  </si>
  <si>
    <t>Строительство ПС 110 кВ Сокуры с заходами ВЛ 110 кВ</t>
  </si>
  <si>
    <t>Реконструкция КВЛ 110 кВ ТЭЦ-1 - Западная, 
КВЛ 110 кВ Новокремлевская - Западная</t>
  </si>
  <si>
    <t>Строительство отпайки от ВЛ 35 кВ 101-135 на ПС Исергапово, строительство ячейки В-35 кВ</t>
  </si>
  <si>
    <t xml:space="preserve">Реконструкция МНК 110 кВ ПС 110 кВ ПП 1,2 - ПС Центр </t>
  </si>
  <si>
    <t>Реконструкция МНК 110 кВ Чулман - Шильна</t>
  </si>
  <si>
    <t>Реконструкция ВЛ 35 кВ ПС Альметьевск - ПС Оч.Сооружения</t>
  </si>
  <si>
    <t>Реконструкция ВЛ 110 кВ Заводская - КНС-7 1 со строительством отпайки на ПС Шильна</t>
  </si>
  <si>
    <t xml:space="preserve">Реконструкция ПС 220 кВ Абдрахманово (замена маслонаполненных выключателей - 2 шт.) </t>
  </si>
  <si>
    <t>J_NM_AUP_000_0149</t>
  </si>
  <si>
    <t>J_NA_AUP_000_0161</t>
  </si>
  <si>
    <t>J_NA_AUP_000_0162</t>
  </si>
  <si>
    <t>J_NA_AUP_000_0163</t>
  </si>
  <si>
    <t>Приобретение спецавтотехники. Передвижная электротехническая лаборатория для диагностики силовых трансформаторов и подстанционного оборудования (на базе автомобиля Ford Transit 350 Astra Trax) - 5шт.</t>
  </si>
  <si>
    <t xml:space="preserve"> Приобретение спецавтотехники. Передвижная техника с бурильным оборудованием с изолирующими компонентами КМУ, РПН (на базе автомобиля КАМАЗ-43118-3027-46(БКМ-15) DH50) - 5 шт.</t>
  </si>
  <si>
    <t>Приобретение спецавтотехники. Передвижная техника с изолирующими компонентами КМУ, РПН (на базе автомобиля КАМАЗ-43118-3971-46 АГП20 ТА-60) - 10 шт.</t>
  </si>
  <si>
    <t>J_PS_KES_110_0096</t>
  </si>
  <si>
    <t>J_PS_KES_110_0097</t>
  </si>
  <si>
    <t>J_PS_NkES_110_0099</t>
  </si>
  <si>
    <t>J_PS_NhES_110_0101</t>
  </si>
  <si>
    <t>J_PS_PES_110_0103</t>
  </si>
  <si>
    <t>J_PS_PES_110_0104</t>
  </si>
  <si>
    <t>J_PS_ChES_110_0106</t>
  </si>
  <si>
    <t>J_VL_AES_110_0109</t>
  </si>
  <si>
    <t>J_VL_KES_110_0111</t>
  </si>
  <si>
    <t>J_VL_KES_110_0112</t>
  </si>
  <si>
    <t>J_VL_KES_110_0113</t>
  </si>
  <si>
    <t>J_PB_NkES_000_0123</t>
  </si>
  <si>
    <t>J_PB_ChES_000_0126</t>
  </si>
  <si>
    <t>J_NM_AUP_000_0150</t>
  </si>
  <si>
    <t>J_PS_AES_220_0002</t>
  </si>
  <si>
    <t>J_PS_BES_220_0003</t>
  </si>
  <si>
    <t>J_PS_NkES_220_0004</t>
  </si>
  <si>
    <t>J_PS_BuES_110_0005</t>
  </si>
  <si>
    <t>J_PS_BuES_110_0006</t>
  </si>
  <si>
    <t>J_PS_BuES_110_0007</t>
  </si>
  <si>
    <t>J_PS_BuES_110_0008</t>
  </si>
  <si>
    <t>J_PS_EES_110_0010</t>
  </si>
  <si>
    <t>J_PS_EES_110_0011</t>
  </si>
  <si>
    <t>J_PS_KES_110_0012</t>
  </si>
  <si>
    <t>J_PS_KES_110_0013</t>
  </si>
  <si>
    <t>J_PS_KES_110_0014</t>
  </si>
  <si>
    <t>J_PS_KES_110_0015</t>
  </si>
  <si>
    <t>J_PS_PES_110_0019</t>
  </si>
  <si>
    <t>J_PS_ChES_110_0020</t>
  </si>
  <si>
    <t>J_PS_ChES_110_0021</t>
  </si>
  <si>
    <t>J_PS_ChES_035_0022</t>
  </si>
  <si>
    <t>J_PS_ChES_035_0024</t>
  </si>
  <si>
    <t>J_PS_AES_035_0025</t>
  </si>
  <si>
    <t>J_PS_EES_035_0026</t>
  </si>
  <si>
    <t>J_PS_AUP_110_0028</t>
  </si>
  <si>
    <t>J_RS_AES_010_0029</t>
  </si>
  <si>
    <t>J_RS_BES_010_0030</t>
  </si>
  <si>
    <t>J_RS_BuES_010_0031</t>
  </si>
  <si>
    <t>J_RS_EES_010_0032</t>
  </si>
  <si>
    <t>J_RS_KES_010_0033</t>
  </si>
  <si>
    <t>J_RS_NkES_010_0034</t>
  </si>
  <si>
    <t>J_RS_NhES_010_0035</t>
  </si>
  <si>
    <t>J_RS_PES_010_0036</t>
  </si>
  <si>
    <t>J_RS_ChES_010_0037</t>
  </si>
  <si>
    <t>J_VL_AES_500_0038</t>
  </si>
  <si>
    <t>J_VL_AES_220_0039</t>
  </si>
  <si>
    <t>J_VL_BuES_110_0040</t>
  </si>
  <si>
    <t>J_VL_EES_110_0041</t>
  </si>
  <si>
    <t>J_VL_KES_110_0042</t>
  </si>
  <si>
    <t>J_VL_NhES_110_0043</t>
  </si>
  <si>
    <t>J_VL_PES_110_0044</t>
  </si>
  <si>
    <t>J_VL_ChES_110_0045</t>
  </si>
  <si>
    <t>J_VL_NhES_110_0046</t>
  </si>
  <si>
    <t>J_VL_NhES_110_0047</t>
  </si>
  <si>
    <t>J_VL_AES_035_0048</t>
  </si>
  <si>
    <t>J_VL_AES_035_0049</t>
  </si>
  <si>
    <t>J_VL_ChES_035_0050</t>
  </si>
  <si>
    <t>J_VL_ChES_035_0051</t>
  </si>
  <si>
    <t>J_KU_AES_001_0052</t>
  </si>
  <si>
    <t>J_KU_BuES_001_0053</t>
  </si>
  <si>
    <t>J_KU_BES_001_0054</t>
  </si>
  <si>
    <t>J_KU_EES_001_0055</t>
  </si>
  <si>
    <t>J_KU_KES_001_0056</t>
  </si>
  <si>
    <t>J_KU_NkES_001_0057</t>
  </si>
  <si>
    <t>J_KU_PES_001_0058</t>
  </si>
  <si>
    <t>J_KU_ChES_001_0059</t>
  </si>
  <si>
    <t>J_KU_NkES_001_0060</t>
  </si>
  <si>
    <t>J_KU_AUP_001_0061</t>
  </si>
  <si>
    <t>J_KU_AUP_001_0062</t>
  </si>
  <si>
    <t>J_PB_EES_000_0063</t>
  </si>
  <si>
    <t>J_PB_PES_000_0064</t>
  </si>
  <si>
    <t>J_PB_PES_000_0065</t>
  </si>
  <si>
    <t>J_PB_ChES_000_0066</t>
  </si>
  <si>
    <t>J_PB_ChES_000_0067</t>
  </si>
  <si>
    <t>J_RZ_AES_001_0068</t>
  </si>
  <si>
    <t>J_RZ_BuES_001_0069</t>
  </si>
  <si>
    <t>J_RZ_BES_001_0070</t>
  </si>
  <si>
    <t>J_RZ_EES_001_0071</t>
  </si>
  <si>
    <t>J_RZ_KES_001_0072</t>
  </si>
  <si>
    <t>J_RZ_NkES_001_0073</t>
  </si>
  <si>
    <t>J_RZ_NhES_001_0074</t>
  </si>
  <si>
    <t>J_RZ_PES_001_0075</t>
  </si>
  <si>
    <t>J_RZ_ChES_001_0076</t>
  </si>
  <si>
    <t>J_TU_AES_001_0077</t>
  </si>
  <si>
    <t>J_TU_BuES_001_0078</t>
  </si>
  <si>
    <t>J_TU_BES_001_0079</t>
  </si>
  <si>
    <t>J_TU_EES_001_0080</t>
  </si>
  <si>
    <t>J_TU_KES_001_0081</t>
  </si>
  <si>
    <t>J_TU_NkES_001_0082</t>
  </si>
  <si>
    <t>J_TU_NhES_001_0083</t>
  </si>
  <si>
    <t>J_TU_PES_001_0084</t>
  </si>
  <si>
    <t>J_TU_ChES_001_0085</t>
  </si>
  <si>
    <t>J_PS_EES_500_0086</t>
  </si>
  <si>
    <t>J_PS_BES_500_0087</t>
  </si>
  <si>
    <t>J_PS_AES_220_0088</t>
  </si>
  <si>
    <t>J_PS_EES_220_0089</t>
  </si>
  <si>
    <t>J_PS_KES_220_0090</t>
  </si>
  <si>
    <t>J_PS_PES_220_0091</t>
  </si>
  <si>
    <t>J_PS_AES_110_0092</t>
  </si>
  <si>
    <t>J_PS_KES_110_0095</t>
  </si>
  <si>
    <t>J_PS_NkES_110_0098</t>
  </si>
  <si>
    <t>J_PS_NhES_110_0100</t>
  </si>
  <si>
    <t>J_PS_PES_110_0102</t>
  </si>
  <si>
    <t>J_PS_ChES_110_0105</t>
  </si>
  <si>
    <t>J_VL_ChES_220_0107</t>
  </si>
  <si>
    <t>J_VL_AES_110_0108</t>
  </si>
  <si>
    <t>J_VL_KES_110_0110</t>
  </si>
  <si>
    <t>J_VL_BES_035_0117</t>
  </si>
  <si>
    <t>J_PB_BES_000_0119</t>
  </si>
  <si>
    <t>J_PB_BuES_000_0120</t>
  </si>
  <si>
    <t>J_PB_KES_000_0121</t>
  </si>
  <si>
    <t>J_PB_NkES_000_0122</t>
  </si>
  <si>
    <t>J_PB_PES_000_0124</t>
  </si>
  <si>
    <t>J_PB_ChES_000_0125</t>
  </si>
  <si>
    <t>J_OE_AES_000_0127</t>
  </si>
  <si>
    <t>J_OE_BuES_000_0128</t>
  </si>
  <si>
    <t>J_OE_BES_000_0129</t>
  </si>
  <si>
    <t>J_OE_EES_000_0130</t>
  </si>
  <si>
    <t>J_OE_KES_000_0131</t>
  </si>
  <si>
    <t>J_OE_NkES_000_0132</t>
  </si>
  <si>
    <t>J_OE_PES_000_0133</t>
  </si>
  <si>
    <t>J_SO_AES_000_0134</t>
  </si>
  <si>
    <t>J_SO_BuES_000_0135</t>
  </si>
  <si>
    <t>J_SO_BES_000_0136</t>
  </si>
  <si>
    <t>J_SO_EES_000_0137</t>
  </si>
  <si>
    <t>J_SO_KES_000_0138</t>
  </si>
  <si>
    <t>J_SO_NkES_000_0139</t>
  </si>
  <si>
    <t>J_SO_NhES_000_0140</t>
  </si>
  <si>
    <t>J_SO_PES_000_0141</t>
  </si>
  <si>
    <t>J_SO_ChES_000_0142</t>
  </si>
  <si>
    <t>J_SP_AES_000_0143</t>
  </si>
  <si>
    <t>J_SP_BuES_000_0144</t>
  </si>
  <si>
    <t>J_SP_BES_000_0145</t>
  </si>
  <si>
    <t>J_SP_NkES_000_0146</t>
  </si>
  <si>
    <t>J_SP_PES_000_0147</t>
  </si>
  <si>
    <t>J_NM_AUP_000_0148</t>
  </si>
  <si>
    <t>J_PP_AES_000_0151</t>
  </si>
  <si>
    <t>J_PP_BuES_000_0152</t>
  </si>
  <si>
    <t>J_PP_BES_000_0153</t>
  </si>
  <si>
    <t>J_PP_EES_000_0154</t>
  </si>
  <si>
    <t>J_PP_KES_000_0155</t>
  </si>
  <si>
    <t>J_PP_NkES_000_0156</t>
  </si>
  <si>
    <t>J_NA_AUP_000_0160</t>
  </si>
  <si>
    <t>ИТОГО</t>
  </si>
  <si>
    <t>J_PP_AUP_000_0157</t>
  </si>
  <si>
    <t>J_NA_AUP_000_0158</t>
  </si>
  <si>
    <t>J_NA_AUP_000_0159</t>
  </si>
  <si>
    <t>J_PS_ChES_035_0023</t>
  </si>
  <si>
    <t>J_PS_EES_110_0009</t>
  </si>
  <si>
    <t>Строительство ПС 110 кВ Верхний Услон</t>
  </si>
  <si>
    <t>Строительство ВЛ 110 кВ к ПС Верхний Услон</t>
  </si>
  <si>
    <t>J_PS_BuES_110_0093</t>
  </si>
  <si>
    <t>J_VL_BuES_110_0094</t>
  </si>
  <si>
    <t>J_PS_AES_220_0027</t>
  </si>
  <si>
    <t>Строительство ВЛ 110 кВ Балтаси-Апазово</t>
  </si>
  <si>
    <t>ГГ</t>
  </si>
  <si>
    <t>Реконструкция ПС 110 кВ Прикамская</t>
  </si>
  <si>
    <t>Реконструкция ВЛ 220 кВ ЗайГРЭС - Сулеево 2 (1,2 ц.)</t>
  </si>
  <si>
    <t>к приказу Минэнерго России</t>
  </si>
  <si>
    <t>Приложение  № 3</t>
  </si>
  <si>
    <r>
      <t>Утвержденные плановые значения показателей приведены в соответствии с ___</t>
    </r>
    <r>
      <rPr>
        <b/>
        <u/>
        <sz val="14"/>
        <rFont val="Times New Roman"/>
        <family val="1"/>
        <charset val="204"/>
      </rPr>
      <t>приказом Министерства промышленности и торговли Республики Татарстан от 28.12.2019 №264-ОД</t>
    </r>
    <r>
      <rPr>
        <u/>
        <sz val="14"/>
        <rFont val="Times New Roman"/>
        <family val="1"/>
        <charset val="204"/>
      </rPr>
      <t>___</t>
    </r>
  </si>
  <si>
    <t>Реконструкция ПС 110 кВ Энергорайон</t>
  </si>
  <si>
    <t>Реконструкция ВЛ 35 кВ Чистополь 220 - Кр.Гора</t>
  </si>
  <si>
    <t>Реконструкция КВЛ 35 кВ Каргали - Чистопольская 35</t>
  </si>
  <si>
    <t>Реконструкция ВЛ 35 кВ Нурлат - Мамыково (вынос)</t>
  </si>
  <si>
    <t>Строительство КВЛ 35 кВ Сокуры - Каипы (2 этап)</t>
  </si>
  <si>
    <t>Строительство ПС 35кВ Чистопольская</t>
  </si>
  <si>
    <t>Строительство ПС 35 кВ Каипы с заходами КВЛ 35 кВ (1 этап)</t>
  </si>
  <si>
    <t>Расширение системы интеллектуального учета электроэнергии РЭС филиала АО "Сетевая компания" Альметьевские электрические сети</t>
  </si>
  <si>
    <t>Расширение системы интеллектуального учета электроэнергии РЭС филиала АО "Сетевая компания" Буинские электрические сети</t>
  </si>
  <si>
    <t>Расширение системы интеллектуального учета электроэнергии РЭС филиала АО "Сетевая компания" Бугульминские электрические сети</t>
  </si>
  <si>
    <t>Расширение системы интеллектуального учета электроэнергии РЭС филиала АО "Сетевая компания" Елабужские электрические сети</t>
  </si>
  <si>
    <t>Расширение системы интеллектуального учета электроэнергии РЭС филиала АО "Сетевая компания" Казанские электрические сети</t>
  </si>
  <si>
    <t xml:space="preserve">Расширение системы интеллектуального учета электроэнергии РЭС филиала АО "Сетевая компания" Нижнекамские электрические сети </t>
  </si>
  <si>
    <t xml:space="preserve">Расширение системы интеллектуального учета электроэнергии РЭС филиала АО "Сетевая компания" НабережноЧелнинские электрические сети </t>
  </si>
  <si>
    <t>Расширение системы интеллектуального учета электроэнергии РЭС филиала АО "Сетевая компания" Приволжские электрические сети</t>
  </si>
  <si>
    <t>Расширение системы интеллектуального учета электроэнергии РЭС филиала АО "Сетевая компания" Чистопольские электрические сети</t>
  </si>
  <si>
    <t xml:space="preserve">Реконструкция автоматизированной системы учета электроэнергии РП Мирная филиала АО "Сетевая компания" Нижнекамские электрические сети </t>
  </si>
  <si>
    <t>Техническое перевооружение оборудования релейной защиты и автоматики филиала АО "Сетевая компания" Альметьевские электрические сети</t>
  </si>
  <si>
    <t>Техническое перевооружение оборудования релейной защиты и автоматики филиала АО "Сетевая компания" Буинские электрические сети</t>
  </si>
  <si>
    <t>Техническое перевооружение оборудования релейной защиты и автоматики филиала АО "Сетевая компания" Бугульминские электрические сети</t>
  </si>
  <si>
    <t>Техническое перевооружение оборудования релейной защиты и автоматики филиала АО "Сетевая компания" Елабужские электрические сети</t>
  </si>
  <si>
    <t>Техническое перевооружение оборудования релейной защиты и автоматики филиала АО "Сетевая компания" Казанские электрические сети</t>
  </si>
  <si>
    <t xml:space="preserve">Техническое перевооружение оборудования релейной защиты и автоматики филиала АО "Сетевая компания" Нижнекамские электрические сети </t>
  </si>
  <si>
    <t>Техническое перевооружение оборудования релейной защиты и автоматики филиала АО "Сетевая компания" Набережночелнинские электрические сети</t>
  </si>
  <si>
    <t>Техническое перевооружение оборудования релейной защиты и автоматики филиала АО "Сетевая компания" Приволжские электрические сети</t>
  </si>
  <si>
    <t>Техническое перевооружение оборудования релейной защиты и автоматики филиала АО "Сетевая компания" Чистопольские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</si>
  <si>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Альметьевские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</si>
  <si>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Буинские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</si>
  <si>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Бугульминские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</si>
  <si>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Елабужские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</si>
  <si>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Казанские электрические сети</t>
  </si>
  <si>
    <t xml:space="preserve">Техническое перевооружение оборудования связи и средств диспетчерского и технологического управления филиала АО "Сетевая компания" Нижнекамские электрические сети </t>
  </si>
  <si>
    <t>Техническое перевооружение оборудования связи и средств диспетчерского и технологического управления филиала АО "Сетевая компания" Набережночелнинские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</si>
  <si>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Приволжские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</si>
  <si>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Чистопольские электрические сети</t>
  </si>
  <si>
    <t>Строительство Черемшанского РЭС филиала АО "Сетевая компания" Бугульминские электрические сети</t>
  </si>
  <si>
    <t>Строительство базы Верхнеуслонского РЭС филиала АО "Сетевая компания" Буинские электрические сети</t>
  </si>
  <si>
    <t>Строительство базы Западного РЭС филиала АО "Сетевая компания" Казанские электрические сети</t>
  </si>
  <si>
    <t>Строительство базы Мензелинского РЭС филиала АО "Сетевая компания" Нижнекамские электрические сети</t>
  </si>
  <si>
    <t>Строительство базы Актанышского РЭС филиала АО "Сетевая компания" Нижнекамские электрические сети</t>
  </si>
  <si>
    <t>Строительство базы Пестречинского РЭС филиала АО "Сетевая компания" Приволжские электрические сети</t>
  </si>
  <si>
    <t>Строительство базы Нурлатского РЭС филиала АО "Сетевая компания" Чистопольские электрические сети</t>
  </si>
  <si>
    <t>Строительство производственно-административной базы филиала АО "Сетевая компания" Чистопольские электрические сети</t>
  </si>
  <si>
    <t>Строительство базы Центрального РЭС филиала АО "Сетевая компания" Казанские электрические сети</t>
  </si>
  <si>
    <t>Строительство специализированной площадки для охраны окружающей среды в целях обеспечения экологической безопасности филиала АО "Сетевая компания" Альметьевские электрические сети</t>
  </si>
  <si>
    <t>Строительство специализированной площадки для охраны окружающей среды в целях обеспечение экологической безопасности филиала АО "Сетевая компания" Буинские электрические сети</t>
  </si>
  <si>
    <t>Строительство специализированной площадки для охраны окружающей среды в целях обеспечение экологической безопасности филиала АО "Сетевая компания" Бугульминские электрические сети</t>
  </si>
  <si>
    <t>Строительство системы сбора поверхностных сточных вод на производственной площадке филиала АО "Сетевая компания" Приволжские электрические сети</t>
  </si>
  <si>
    <t>Модернизация инженерно-технических средств охраны  объектов филиала АО "Сетевая компания" Альметьевские электрические сети</t>
  </si>
  <si>
    <t>Модернизация инженерно-технических средств охраны  объектов филиала АО "Сетевая компания" Буинские электрические сети</t>
  </si>
  <si>
    <t>Модернизация инженерно-технических средств охраны  объектов филиала АО "Сетевая компания" Бугульминские электрические сети</t>
  </si>
  <si>
    <t xml:space="preserve">Модернизация инженерно-технических средств охраны  объектов филиала АО "Сетевая компания" Елабужские электрические сети </t>
  </si>
  <si>
    <t>Модернизация инженерно-технических средств охраны  объектов филиала АО "Сетевая компания" Казанские электрические сети</t>
  </si>
  <si>
    <t xml:space="preserve">Модернизация инженерно-технических средств охраны  объектов филиала АО "Сетевая компания" Нижнекамские электрические сети </t>
  </si>
  <si>
    <t>Модернизация инженерно-технических средств охраны  объектов филиала АО "Сетевая компания" Набережночелнинские электрические сети</t>
  </si>
  <si>
    <t>Модернизация инженерно-технических средств охраны  объектов филиала АО "Сетевая компания" Приволжские электрические сети</t>
  </si>
  <si>
    <t>Модернизация инженерно-технических средств охраны  объектов филиала АО "Сетевая компания" Чистопольские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</si>
  <si>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Альметьевские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</si>
  <si>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Буинские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</si>
  <si>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Бугульминские электрические сети</t>
  </si>
  <si>
    <t xml:space="preserve">Создание автоматической системы пожарной сигнализации и пожаротушения в целях обеспечения пожарной  безопасности филиала АО "Сетевая компания" Нижнекамские электрические сети 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</si>
  <si>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Приволжские электрические сети</t>
  </si>
  <si>
    <t>Реконструкция электросетевого комплекса Красная кадка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</si>
  <si>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</si>
  <si>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</si>
  <si>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</t>
  </si>
  <si>
    <t>L_PS_NhES_110_0172</t>
  </si>
  <si>
    <t>L_PS_PES_035_0174</t>
  </si>
  <si>
    <t>L_VL_ChES_035_0175</t>
  </si>
  <si>
    <t>L_VL_ChES_035_0176</t>
  </si>
  <si>
    <t>L_VL_NkES_035_0177</t>
  </si>
  <si>
    <t>L_VL_PES_035_0178</t>
  </si>
  <si>
    <t>L_PB_KES_000_0180</t>
  </si>
  <si>
    <t>L_PP_PES_000_0182</t>
  </si>
  <si>
    <t>L_PP_ChES_000_0183</t>
  </si>
  <si>
    <t>L_NA_AUP_000_0186</t>
  </si>
  <si>
    <t>Реконструкция на подстанциях 110 кВ (замена маслонаполненных выключателей)</t>
  </si>
  <si>
    <t>Реконструкция сети ВЛ, КВЛ, КЛ 0,4-6-10 кВ филиала АО "Сетевая компания" Альметьевские электрические сети</t>
  </si>
  <si>
    <t>Реконструкция сети ВЛ, КВЛ, КЛ 0,4-6-10 кВ филиала АО "Сетевая компания" Бугульминские электрические сети</t>
  </si>
  <si>
    <t>Реконструкция сети ВЛ, КВЛ, КЛ 0,4-6-10 кВ филиала АО "Сетевая компания" Буинские электрические сети</t>
  </si>
  <si>
    <t>Реконструкция сети ВЛ, КВЛ, КЛ 0,4-6-10 кВ филиала АО "Сетевая компания" Елабужские электрические сети</t>
  </si>
  <si>
    <t>Реконструкция сети ВЛ, КВЛ, КЛ 0,4-6-10 кВ филиала АО "Сетевая компания" Казанские электрические сети</t>
  </si>
  <si>
    <t>Реконструкция сети ВЛ, КВЛ, КЛ 0,4-6-10 кВ филиала АО "Сетевая компания" Приволжские электрические сети</t>
  </si>
  <si>
    <t>Реконструкция сети ВЛ, КВЛ, КЛ 0,4-6-10 кВ филиала АО "Сетевая компания" Чистопольские электрические сети</t>
  </si>
  <si>
    <t>Строительство базы Заинского РЭС филиала АО "Сетевая компания" Нижнекамские электрические сети</t>
  </si>
  <si>
    <t>Стоимость проекта уточнена согласно выполненым проектно-изыскательским работам.</t>
  </si>
  <si>
    <t xml:space="preserve">Согласно постановлению арбитражного суда кассационной инстанции Ф06-46756/2019 вынос воздушной линии по проекту не требуется. </t>
  </si>
  <si>
    <t>Освоение капитальных вложений 2019 года в прогнозных ценах соответствующих лет, млн рублей (без НДС)</t>
  </si>
  <si>
    <t>Факт</t>
  </si>
  <si>
    <t>Реализация мероприятий в рамках решения Президента Республики Татарстан о приобретении электросетевого имущества ООО «Предприятие электрических сетей» и ПАО «Камгэсэнергострой».</t>
  </si>
  <si>
    <t>в ценах 2018 года</t>
  </si>
  <si>
    <t>с НДС</t>
  </si>
  <si>
    <t xml:space="preserve">Уточнение объемов в рамках исполнения обязательств ОАО "Сетевая компания", предусмотренных Федеральным законом от 27.12.2018 №522-ФЗ от 27 декабря 2018 года. </t>
  </si>
  <si>
    <t xml:space="preserve">Перенос сроков реализации инвестиционного проекта. В связи с невозможностью реконструкции подстанции в границах земельного участка существующей подстанции потребовалось выполнение дополнительных мероприятий по обеспечению места строительства всем требованиям градостроительного законодательства, что привело к увеличению сроков проектирования. </t>
  </si>
  <si>
    <r>
      <t xml:space="preserve">Инвестиционная программа  </t>
    </r>
    <r>
      <rPr>
        <u/>
        <sz val="14"/>
        <rFont val="Times New Roman"/>
        <family val="1"/>
        <charset val="204"/>
      </rPr>
      <t xml:space="preserve">         </t>
    </r>
    <r>
      <rPr>
        <b/>
        <u/>
        <sz val="14"/>
        <rFont val="Times New Roman"/>
        <family val="1"/>
        <charset val="204"/>
      </rPr>
      <t xml:space="preserve"> АО "Сетевая компания" </t>
    </r>
    <r>
      <rPr>
        <u/>
        <sz val="14"/>
        <rFont val="Times New Roman"/>
        <family val="1"/>
        <charset val="204"/>
      </rPr>
      <t xml:space="preserve">         </t>
    </r>
  </si>
  <si>
    <t>Переустройство коммуникаций для Строительства скоростной автомобильной дороги Москва-Нижний Новгород-Казань М12</t>
  </si>
  <si>
    <t>Реконструкция АБК (фасад здания) и благоустройство территории Балтасинского РЭС филиала АО "Сетевая компания" Приволжские электрические сети</t>
  </si>
  <si>
    <t>Реконструкция гаража и благоустройство территории Лаишевского РЭС филиала АО "Сетевая компания" Приволжские электрические сети</t>
  </si>
  <si>
    <t>Реконструкция  базы Спасского РЭС филиала АО "Сетевая компания" Чистопольские электрические сети</t>
  </si>
  <si>
    <t>Реконструкция базы Алексеевского РЭС филиала АО "Сетевая компания" Чистопольские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</si>
  <si>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Альметьевские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</si>
  <si>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Буинские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</si>
  <si>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Бугульминские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</si>
  <si>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Елабужские электрические сети </t>
  </si>
  <si>
    <t>Создание систем диспетчеризации с организацией каналов связи и систем сбора и передачи данных в филиале АО "Сетевая компания" Казанские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</si>
  <si>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Нижнекамские электрические сети </t>
  </si>
  <si>
    <t>Создание систем диспетчеризации с организацией каналов связи и систем сбора и передачи данных в филиале АО "Сетевая компания" Набережночелнинские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</si>
  <si>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Приволжские электрические сети 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</si>
  <si>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Чистопольские электрические сети </t>
  </si>
  <si>
    <t>Создание систем диспетчеризации с организацией каналов связи и систем сбора и передачи данных в Аппарате Управления АО "Сетевая компания"</t>
  </si>
  <si>
    <t>L_VL_BuES_000_0187</t>
  </si>
  <si>
    <t>Реконструкция сети ВЛ, КВЛ, КЛ 0,4-6-10 кВ филиала АО "Сетевая компания" Нижнекамские электрические сети</t>
  </si>
  <si>
    <t xml:space="preserve">Реконструкция сети ВЛ, КВЛ, КЛ 0,4-6-10 кВ филиала АО "Сетевая компания" Набережночелнинские электрические сети </t>
  </si>
  <si>
    <t xml:space="preserve">Приобретение земельных участков в рамках осуществления основной деятельности, объектов электросетевого хозяйства </t>
  </si>
  <si>
    <t>Увеличение объемов реализации инвестиционного проекта связано с необходимостью выполнения всех мероприятий для повышения оперативности передачи информации и возможности оперативного реагирования на развитие нештатных ситуаций на территории Республики Татарстан, особенно в период массовых отключений.</t>
  </si>
  <si>
    <t>Уточнение объемов по факту проработки инвестиционного проекта.</t>
  </si>
  <si>
    <t>Н</t>
  </si>
  <si>
    <t>L_PP_AUP_000_0189</t>
  </si>
  <si>
    <t>L_PP_NhES_000_0188</t>
  </si>
  <si>
    <t>П, С, З</t>
  </si>
  <si>
    <t>З</t>
  </si>
  <si>
    <t>П, С</t>
  </si>
  <si>
    <t>И, З</t>
  </si>
  <si>
    <t>Реконструкция ПС 220 кВ Узловая в части замены 7шт. выключателей 220 кВ, 18 шт. выключателей 110 кВ, 10 шт. выключателей 35 кВ, 20 шт. выключателей 6 кВ, АТ-1,2 (2х200) МВА</t>
  </si>
  <si>
    <t>Реконструкция ПС 220 кВ Зеленодольская в части замены 8 шт. выключателей 220 кВ, 14 шт. выключателей 110 кВ, 1 шт. выключателя 35 кВ, 44 шт. выключателей 6 кВ, с установкой АТ-1,2 (2х125) МВА, Т-1,2 (2х40) МВА, Т-3 6,3 МВА</t>
  </si>
  <si>
    <t>Расширение ОРУ 110 кВ ПС 500 кВ Щелоков с установкой выключателя 110 кВ</t>
  </si>
  <si>
    <t>Реконструкция ПС 220 кВ Магистральная в части замены 4 шт. выключателей 220 кВ, 12 шт. выключателей 110 кВ, 62 шт. выключателей 10 кВ, с установкой Т-1,2 (2х63) МВА</t>
  </si>
  <si>
    <t>Строительство электрической зарядной станции (ЭЗС)</t>
  </si>
  <si>
    <t xml:space="preserve">Постановление Правительства Российской Федерации от 15.04.2014 № 321 "Об утверждении государственной программы Российской Федерации "Развитие энергетики".
Распоряжение Кабинета Министров Республики Татарстан от 16.02.2021 №267-р о разработке региональной программы развития зарядной инфраструктуры для транспортных средств с электродвигателями на территории Республики Татарстан.  </t>
  </si>
  <si>
    <t>Факт заключенных договоров на технологическое присоединение.</t>
  </si>
  <si>
    <t>Реконструкция объектов АО  "Сетевая компания" для создания технической возможности технологического присоединения электрических сетей АО «ТГК-16», в рамках договора оказания услуг с ПАО «Нижнекамскнефтехим».</t>
  </si>
  <si>
    <t>Принятие техническим советом решения о переносе сроков реализации инвестиционного проекта.  Выполнение в рамках действующего периода регулирования только проектных работ.</t>
  </si>
  <si>
    <t>Принятие техническим советом решения о приостановке инвестиционного проекта (Протокол от 26.02.2021 №14/02-2021 заседания Совета директоров АО "Сетевая компания" об одобрении проведения корректировки).</t>
  </si>
  <si>
    <t>Принятие техническим советом решения о приостановке инвестиционного проекта (Протокол от 26.02.2021 №14/02-2021 заседания Совета директоров АО "Сетевая компания" об одобрении проведения корректировки)</t>
  </si>
  <si>
    <t>Техническим советом  уточнен перечень инвестиционных проектов.</t>
  </si>
  <si>
    <t xml:space="preserve">Уточнение объемов в рамках исполнения обязательств АО "Сетевая компания", предусмотренных Федеральным законом от 27.12.2018 №522-ФЗ от 27 декабря 2018 года. </t>
  </si>
  <si>
    <t>Техническим советом пересмотрен и утончен перечень объектов.</t>
  </si>
  <si>
    <t>Техническим советом пересмотрен и утончен перечень объектов. В ходе проработки инвестиционного проекта выявлены дополнительные объемы.</t>
  </si>
  <si>
    <t>Строительство объектов АО "Сетевая компания" для создания технической возможности технологического присоединения электрических сетей АО «ТГК-16», в рамках договора оказания услуг с ПАО «Нижнекамскнефтехим».</t>
  </si>
  <si>
    <t>Принятие техническим советом решения о переносе сроков реализации инвестиционного проекта в рамках действующего периода регулирования.</t>
  </si>
  <si>
    <t>Обновление приборного парка и техники, приобретение оргтехники и оборудования ИТ, оборудования и элементов для инженерно-хозяйственного обеспечения в рамках основной деятельности, выполнение НИОКР для целей Компании.</t>
  </si>
  <si>
    <t>Техническим советом принято решение о переносе сроков реализации инвестиционного проекта. Выполнение в рамках действующего периода регулирования только проектных работ.</t>
  </si>
  <si>
    <t>L_VL_NkES_110_0171</t>
  </si>
  <si>
    <t>L_NM_AUP_000_0165</t>
  </si>
  <si>
    <t>L_OF_AUP_000_0166</t>
  </si>
  <si>
    <t>L_KU_NhES_001_0168</t>
  </si>
  <si>
    <r>
      <rPr>
        <b/>
        <sz val="14"/>
        <rFont val="Times New Roman"/>
        <family val="1"/>
        <charset val="204"/>
      </rPr>
      <t>L</t>
    </r>
    <r>
      <rPr>
        <sz val="14"/>
        <rFont val="Times New Roman"/>
        <family val="1"/>
        <charset val="204"/>
      </rPr>
      <t>_PS_ChES_035_0164</t>
    </r>
  </si>
  <si>
    <t>L_PB_NkES_000_0181</t>
  </si>
  <si>
    <t>J_VL_PES_110_0118</t>
  </si>
  <si>
    <t>от «05» мая 2016 г. №380</t>
  </si>
  <si>
    <t xml:space="preserve">В связи с проведенной оценкой технического состояния оборудования и необходимостью детальной проработки инвестиционного проекта этап реализации секвестирован с исключением  инвестиционного проекта из инвестиционной программы на 2020-2024 годы. </t>
  </si>
  <si>
    <r>
      <t>Предложение по корректировке утвержденного плана 
на 01.01.</t>
    </r>
    <r>
      <rPr>
        <sz val="12"/>
        <color rgb="FFFF0000"/>
        <rFont val="Times New Roman"/>
        <family val="1"/>
        <charset val="204"/>
      </rPr>
      <t xml:space="preserve">2022 </t>
    </r>
    <r>
      <rPr>
        <sz val="12"/>
        <rFont val="Times New Roman"/>
        <family val="1"/>
        <charset val="204"/>
      </rPr>
      <t xml:space="preserve">года </t>
    </r>
  </si>
  <si>
    <r>
      <t>План на 01.01</t>
    </r>
    <r>
      <rPr>
        <sz val="12"/>
        <color rgb="FFFF0000"/>
        <rFont val="Times New Roman"/>
        <family val="1"/>
        <charset val="204"/>
      </rPr>
      <t>.2022</t>
    </r>
    <r>
      <rPr>
        <sz val="12"/>
        <rFont val="Times New Roman"/>
        <family val="1"/>
        <charset val="204"/>
      </rPr>
      <t xml:space="preserve"> года </t>
    </r>
  </si>
  <si>
    <t>Отклонение суммы ИПР от ПСД</t>
  </si>
  <si>
    <t>план</t>
  </si>
  <si>
    <t>Переустройство коммуникаций для cтроительства автомагистрали Вознесенский тракт (вынос)</t>
  </si>
  <si>
    <t>Перевод питания Т1 ПС 110 кВ Осиново</t>
  </si>
  <si>
    <t>ТП</t>
  </si>
  <si>
    <t>ОС</t>
  </si>
  <si>
    <t>Проверка</t>
  </si>
  <si>
    <t>M_VL_KES_220_0191</t>
  </si>
  <si>
    <t>M_PS_BuES_035_0192</t>
  </si>
  <si>
    <t>M_VL_PES_110_0193</t>
  </si>
  <si>
    <t>М_VL_KES_000_0190</t>
  </si>
  <si>
    <t>Б</t>
  </si>
  <si>
    <t>Создание систем информационной безопасности объектов</t>
  </si>
  <si>
    <t>M_SO_AUP_000_0194</t>
  </si>
  <si>
    <t>Утвержденная корректировка</t>
  </si>
  <si>
    <t>Проект корректировки 2022</t>
  </si>
  <si>
    <t>дельта от суммы утвержденной ИПР(корр)</t>
  </si>
  <si>
    <t>Реконструкция КВЛ 110 кВ Магистральная - Восточная</t>
  </si>
  <si>
    <t>Реконструкция ПС 110 кВ Кузембетьево</t>
  </si>
  <si>
    <t>Реконструкция ПС 110 кВ Ленино</t>
  </si>
  <si>
    <t>Реконструкция ВЛ 110 кВ Казанская ТЭЦ-3 - Площадка-Z 1,2</t>
  </si>
  <si>
    <t>Реконструкция ПС 110 кВ Юбилейная</t>
  </si>
  <si>
    <t>Реконструкция ПС 110 кВ Аэропорт</t>
  </si>
  <si>
    <t>M_PS_PES_110_0195</t>
  </si>
  <si>
    <t>M_PS_PES_110_0196</t>
  </si>
  <si>
    <t>Строительство объектов АО "Сетевая компания" для создания технической возможности технологического присоединения ПГУ-250 ПАО "Казаньоргсинтез"</t>
  </si>
  <si>
    <t>Принятие техническим советом решения о переносе сроков реализации инвестиционного проекта на следующий период регулирования.</t>
  </si>
  <si>
    <t>Уточнен перечень объектов.</t>
  </si>
  <si>
    <t>Уточнен перечень инвестиционных проектов.</t>
  </si>
  <si>
    <t>Уточнение объемов реализации инвестиционного проекта.</t>
  </si>
  <si>
    <t>Принятие техническим советом решения о приостановке инвестиционного проекта.</t>
  </si>
  <si>
    <t>Выполнение в рамках действующего периода регулирования только проектных работ.</t>
  </si>
  <si>
    <t>В связи с необходимостью уточнения принятых технических и схемных решений, выполнения землеустроительных работ выполнен перенос сроков реализации инвестиционного проекта на следующий период регулирования.</t>
  </si>
  <si>
    <t>Увеличение объема инвестиционного проекта связано с уточнением принятых технических решений и выполнением всех необходимых мероприятий.</t>
  </si>
  <si>
    <t>В связи с длительностью выполнения проектно-изыскательских работ выполнен перенос сроков реализации инвестиционного проекта, в рамках действующего периода регулирования.</t>
  </si>
  <si>
    <t>Осуществляется вынос объектов АО Сетевая компания в рамках договора об оказании услуг по выносу объектов ЭСХ</t>
  </si>
  <si>
    <t>Решение технического совета по обеспечению надежной схемы электроснабжения (Протокол от 17.08.2021 №183).</t>
  </si>
  <si>
    <t>Создание систем кибербезопасности в целях соблюдения требований регуляторов ФСТЭК РФ и ФСБ РФ по исключению несанкционированного доступа к оборудованию и системам АСДУ, АСУ ТП, АСУ РЗА и ПА, системам интеллектуального учета объектов АО "Сетевая компания".</t>
  </si>
  <si>
    <t>Реконструкция ПС 110 кВ Хайер</t>
  </si>
  <si>
    <t>M_PS_NhES_110_0198</t>
  </si>
  <si>
    <t>Переустройство ВЛ 35 кВ Камаз-Победа</t>
  </si>
  <si>
    <t>M_VL_NhES_035_0199</t>
  </si>
  <si>
    <t>Договор оказания услуги № 2021/НЧЭС/103 от 29.08.2021</t>
  </si>
  <si>
    <t>Договор оказания услуги № 2021/НЧЭС/134 от 19.11.2021</t>
  </si>
  <si>
    <t>Реализация в рамках договора технологического присоединения ТК "Майский".</t>
  </si>
  <si>
    <t>Уточнение стоимости по итогам проведения закупочных процедур.</t>
  </si>
  <si>
    <t>В связи с длительностью принятия схемных решений выполнен перенос сроков реализации инвестиционного проекта.</t>
  </si>
  <si>
    <t>Было до внесения изменений</t>
  </si>
  <si>
    <t>Дельта</t>
  </si>
  <si>
    <t>Дельта по объектам (общая стоимость)</t>
  </si>
  <si>
    <t>L_PS_ChES_035_0164</t>
  </si>
  <si>
    <t>КВЛ 2015-2024 для ввода фондов</t>
  </si>
  <si>
    <t>ГЖФ</t>
  </si>
  <si>
    <t>Апастовский РЭС</t>
  </si>
  <si>
    <t>2х98</t>
  </si>
  <si>
    <t>2х42</t>
  </si>
  <si>
    <t>1.1.3.2</t>
  </si>
  <si>
    <t>ПГУ – 250 ПАО «Казаньоргсинтез», всего, в том числе:</t>
  </si>
  <si>
    <t>Технологическое присоединение энергопринимающих устройств потребителей свыше 150 кВт, всего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</si>
  <si>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 </t>
    </r>
    <r>
      <rPr>
        <b/>
        <u/>
        <sz val="14"/>
        <rFont val="Times New Roman"/>
        <family val="1"/>
        <charset val="204"/>
      </rPr>
      <t xml:space="preserve">2022 </t>
    </r>
    <r>
      <rPr>
        <u/>
        <sz val="14"/>
        <rFont val="Times New Roman"/>
        <family val="1"/>
        <charset val="204"/>
      </rPr>
      <t xml:space="preserve">   </t>
    </r>
    <r>
      <rPr>
        <sz val="14"/>
        <rFont val="Times New Roman"/>
        <family val="1"/>
        <charset val="204"/>
      </rPr>
      <t xml:space="preserve"> год</t>
    </r>
  </si>
  <si>
    <t>Строительство объекта природоохранного назначения, направленное на контроль и снижение негативного воздействия на окружающую среду (площадки временного размещения отходов ТКО, производства и потребления, системы водоснабжения) филиала АО "Сетевая компания" Елабужские электрические сети</t>
  </si>
  <si>
    <t>Строительство объекта природоохранного назначения, направленное на контроль и снижение негативного воздействия на окружающую среду (площадка временного размещения отходов, система водоснабжения) филиала АО "Сетевая компания" Казанские электрические сети</t>
  </si>
  <si>
    <t>Нематериальные активы формирования инвестиционной программы и управления капитальным строительством (автоматизация процессов управления капитальным строительством, осуществления инвесторского контроля)</t>
  </si>
  <si>
    <t>Уточнение стоимости инвестиционного проекта по результатам разработки проектно-сметной документации, включение в объем проекта работ по замене АТГ-3.</t>
  </si>
  <si>
    <t>План по утвержденной ИПР 20-24</t>
  </si>
  <si>
    <t xml:space="preserve"> ПГУ-495 ПАО "Нижнекамскнефтехим", в том числе:</t>
  </si>
  <si>
    <t>1.1.3.3</t>
  </si>
  <si>
    <t>"Энергоцентр, Мини-ТЭС" ООО ТК "Майский" (43,576 МВт),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</si>
  <si>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</t>
  </si>
  <si>
    <t>Строительство ЛЭП в рамках технологического присоединения ПГУ-495 ПАО "Нижнекамскнефтехим" с переустройством ВЛ 110 кВ НкТЭЦ-Город и ВЛ 110 кВ Заводская - КБК 1,  ВЛ 110 кВ НкТЭЦ-Водоподъем, ВЛ 110 кВ Заводская - КБК 1 с созданием ВЛ 110 кВ Нижнекамская ТЭЦ-КБК  и ВЛ 110 кВ Нижнекамская ТЭЦ-Заводская с отпайками.  Протяженность участка строительства по трассе 30 км. провод АС 240, АС-300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</si>
  <si>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</si>
  <si>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</si>
  <si>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 xml:space="preserve">Строительство ЛЭП в рамках технологического присоединения ПГУ-250 ПАО  "Казаньоргсинтез" в части переустройства ВЛ 220 кВ Киндери-Магистральная I цепь и ВЛ 220 кВ  Казанская ТЭЦ-3-Киндери I цепь, ВЛ 220 кВ Киндери-Магистральная II цепь и ВЛ 220 кВ  Киндери-Центральная II цепь с созданием ВЛ 220 кВ Магистральная-Центральная и КВЛ 220 кВ Казанская ТЭЦ-3-Магистральная, протяженность участка строительства по трассе 1км., провод АС-240, АС-300, АС-400, АПвПу2гж 1х1600/150 </t>
  </si>
  <si>
    <t>Реконструкция электросетевого комплекса Кукмор филиала АО "Сетевая компания" Елабужские электрические сети, площадь: бытовой комплекс - 432 кв.м. производственный - 75 кв.м</t>
  </si>
  <si>
    <t>Срок завершения СМР и ПНР перенесен на 2023 год, в соответствии с утвержденной распоряжением Президента Республики Татарстан №149ДСП от 30.04.2021 «Схемой и программой развития электроэнергетики  Республики Татарстан на 2021 год с перспективой до 2026 года».</t>
  </si>
  <si>
    <t>Реконструкция: Сооружения ВЛ-220 кВ «Заводская Тойма-2», Сооружения ВЛ-220 кВ «Нижнекамская- Тойма-2», «Электросетевого комплекса» с кадастровым номером 16:47:011405:9957, Воздушной линии ВЛ-110 кВ Тойма-2 – ГПП-2 ОЭЗ «Алабуга» (инв.№27.2-362), Воздушной линии ВЛ-110 кВ Тойма-2 – ГПП-2 ОЭЗ «Алабуга» (1-цепь, левая), ВЛ-110 кВ ПС Тойма-2 –РП-1 (1 цепь) ОЭЗ ППТ «Алабуга» (кадастровый номер 16:18:000000:1029), Воздушной линии ВЛ-110 кВ Тойма-2 – ГПП-2 ОЭЗ «Алабуга» (инв.№27.2-363), Воздушной линии ВЛ-110 кВ Тойма-2 – ГПП-2 ОЭЗ «Алабуга» (2-цепь, правая), ВЛ-110 кВ ПС Тойма-2 –РП-1 (2 цепь) ОЭЗ ППТ «Алабуга» (кадастровый номер 16:18:000000:1085), «Электросетевого комплекса» (кадастровый номер 16:47:000000:324), «ЭСК: ПС Сетяково (кадастровый номер 16:27:000000:1392), ПС 220 кВ Тойма-2 (Реконструкция ПС 220 кВ Тойма-2 в части замены 4 шт. выключателей 220 кВ, 22 шт. выключателей 110 кВ (общее количество реконструируемых ячеек 110 кВ - 30 шт., в том числе 22 шт. - с выключателями, 6 шт. - ячейки ТН, 2 шт. - резерв), 9 шт. выключателей 10 кВ, ТСН-1,2, переноса ЛРТ-1,2 (2х16) МВА, АТ-1,2 (2х200) МВА на новое место, переустройства заходов ВЛ 220 и 110 кВ общей протяженностью 7,055 км)</t>
  </si>
  <si>
    <t>Здание закрытого распределительного устройства 35 кВ, здание щита собственных нужд 2, здание КПП, реконструкция Электросетевого комплекса Подстанция «Бугульма-500 кВ» и Электросетевого комплекса «Зеленая Роща» (Реконструкция ПС 500 кВ Бугульма в части замены 11 шт. выключателей 220 кВ (общее количество реконструируемых ячеек 220 кВ - 14 шт., в том числе 11 шт. - с выключателями, 3 шт. - ячейки ТН), 9 шт. выключателей 35 кВ, 9 шт. выключателей 10 кВ, ТСН -1,2,3, ТПГ, АТГ-3 (3х167) МВА)</t>
  </si>
  <si>
    <t>L_VL_NkES_110_0170</t>
  </si>
  <si>
    <t>Итого за период реализации инвестиционной программы
(план) 38891</t>
  </si>
  <si>
    <t>Замена трансформаторов на объектах филиала АО "Сетевая компания" Буинские электрические сети на ПС 35 кВ Матюшино и ПС 35 кВ Чечкабы  4 МВА и 6,3 МВА</t>
  </si>
  <si>
    <t>Реконструкция в рамках технологического присоединения ПГУ-495 ПАО "Нижнекамскнефтехим" ВЛ 110 кВ Заводская - КБК 1 протяженностью 5,24 км</t>
  </si>
  <si>
    <t>П.с</t>
  </si>
  <si>
    <t>г</t>
  </si>
  <si>
    <t>Строительство объекта природоохранного назначения, направленное на контроль и снижение негативного воздействия на окружающую среду : создание маслоочистительной системы с коммуникациями, хозяйственно-бытовой канализации, системы сбора и очистки (удаления) поверхностных сточных вод филиала АО "Сетевая компания" Нижнекамские электрические сети</t>
  </si>
  <si>
    <t>Приобретение оборудования не требующего монтаж: обновление приборного парка, мебели, бытовой техники, оргтехники и оборудования ИТ, спецтехники и механизмов</t>
  </si>
  <si>
    <t>Приобретение основных фондов: земельных участков и объектов электросетевого хозяйства</t>
  </si>
  <si>
    <t>Нематериальные активы деятельности по учету и передаче электроэнергии : автоматизация деятельности по учету и передаче электроэнергии в части расширения существующего функционала ИСЭ</t>
  </si>
  <si>
    <t>Нематериальные активы бизнес-процесса технического обслуживания и ремонта: автоматизация бизнес-процесса технического обслуживания и ремонта, реализация интеграционного решения обмена информацией по  дефектам оборудования</t>
  </si>
  <si>
    <t>Нематериальные активы по осуществлению технологического присоединения, процессов закупочной деятельности, процессов учета собственного и наемного автотранспорта: автоматизация управляющих и обеспечивающих процессов, процессов по осуществлению технологического присоединения, процессов закупочной деятельности,  учета собственного и наемного автотранспорта</t>
  </si>
  <si>
    <t>Нематериальные активы по осуществлению управленческого учета: автоматизация управляющих и обеспечивающих процессов</t>
  </si>
  <si>
    <t>Нематериальные активы оперативно-технологического управления: создание модели сети филиалов в электросетевой геоинформационной системе и системе диспетчеризации</t>
  </si>
  <si>
    <t>Внедрение ИС "BIG DATA": реализация интеграционного решения в части обмена информацией о потреблении элеектроэнергии с целью внедрения моделей для прогноза потребления</t>
  </si>
  <si>
    <t>В проект корректировки ИП включен инвестпроект с реконструкцией оборудования ПС 110 кВ Юбилейная в объеме ПИР.</t>
  </si>
  <si>
    <t>В проект корректировки ИП включен инвестпроект с реконструкцией оборудования ПС 110 кВ Аэропорт в объеме ПИР.</t>
  </si>
  <si>
    <t>План 8603,9</t>
  </si>
  <si>
    <t>ст.29.2+29.4+29.5+29.7+29.9</t>
  </si>
  <si>
    <t>разница</t>
  </si>
  <si>
    <t>Строительство объекта природоохранного назначения, направленное на контроль и снижение негативного воздействия на окружающую среду: создание маслоочистительной системы с коммуникациями, хозяйственно-бытовой канализации, системы сбора и очистки (удаления) поверхностных сточных вод филиала АО "Сетевая компания" Нижнекамские электрические сети</t>
  </si>
  <si>
    <t>Нематериальные активы деятельности по учету и передаче электроэнергии: автоматизация деятельности по учету и передаче электроэнергии в части расширения существующего функционала ИСЭ</t>
  </si>
  <si>
    <t>Переустройство коммуникаций для автомагистрали М5 (вынос)</t>
  </si>
  <si>
    <t>Переустройство коммуникаций для автомагистрали М7 (вынос)</t>
  </si>
  <si>
    <t>Переустройство коммуникаций для АО "Шешмаойл"</t>
  </si>
  <si>
    <t>Строительство базы Апастовского РЭС филиала АО "Сетевая компания" Буинские электрические сети</t>
  </si>
  <si>
    <t>N_PB_BuES_000_0209</t>
  </si>
  <si>
    <t>N_VL_AES_000_0206</t>
  </si>
  <si>
    <t>N_VL_NkES_000_0207</t>
  </si>
  <si>
    <t>N_VL_AES_000_0208</t>
  </si>
  <si>
    <t>Строительство базы Западного РЭС филиала АО "Сетевая компания" Казанские электрические сети (ПИР)</t>
  </si>
  <si>
    <t>Реконструкция ВЛ 110кВ отпайка ПС ГПП-1, ПС ГПП-2 от ВЛ 110 кВ ТЭЦ-2 – Магистральная 1, 2 цепи</t>
  </si>
  <si>
    <t>Демонтаж отпайки ПС 110 кВ Константиновка от ВЛ 110 кВ Киндери – Центральная 1, 2 цепи от опоры №12 до опоры №24</t>
  </si>
  <si>
    <t>Реконструкция Электросетевого комплекса с кадастровым №16:47:000000:324 выполняется в отношении: ВЛ 110 кв Тойма-2 - Прикамская, лит 9Л; ВЛ 110 кв Тойма-2 - Прикамская 1 цепь, лит 12Л</t>
  </si>
  <si>
    <t>Реконструкция Электросетевого комплекса с кадастровым №16:18:060201:500 выполняется в отношении ВЛ 35 кВ Елабуга - Гари входящей в состав комплекса</t>
  </si>
  <si>
    <t>Реконструкция КВЛ 110 кB Центральная-Южная I, II цепи с переводом части воздушного участка в КЛ 110 кВ от оп. № 9 до оп. №17.</t>
  </si>
  <si>
    <t>Реконструкция ВЛ 110 кВ Казанская ТЭЦ-3–Зеленый Дол-Тяговая с отпайками, ВЛ 110 кВ Казанская ТЭЦ-3–Площадка Z I, II цепь с отпайками, КВЛ 220 кВ Казанская ТЭЦ-3–Зеленодольская 2 цепь ТЭ.СК.255.КВ.14284448</t>
  </si>
  <si>
    <t>N_VL_KES_110_0200</t>
  </si>
  <si>
    <t>N_VL_KES_110_0201</t>
  </si>
  <si>
    <t>N_VL_EES_110_0202</t>
  </si>
  <si>
    <t>N_VL_EES_035_0203</t>
  </si>
  <si>
    <t>N_VL_KES_110_0204</t>
  </si>
  <si>
    <t>N_VL_PES_110_0205</t>
  </si>
  <si>
    <t>N_PS_AUP_220_0211</t>
  </si>
  <si>
    <t>N_PB_PES_000_0210</t>
  </si>
  <si>
    <t>Реконструкция ПС 110 Красновидово</t>
  </si>
  <si>
    <t>N_PS_BuES_110_0212</t>
  </si>
  <si>
    <t>N_PS_BuES_110_0213</t>
  </si>
  <si>
    <t>Реконструкция ПС 110 Караталга</t>
  </si>
  <si>
    <t>Приобретение оборудования не требующего монтажа: обновление приборного парка, мебели, бытовой техники, оргтехники и оборудования ИТ, спецтехники и механизмов</t>
  </si>
  <si>
    <t>Нематериальные активы по ведению управленческого, кадрового и бухгалтерского учета 1C</t>
  </si>
  <si>
    <t>N_NA_AUP_000_0214</t>
  </si>
  <si>
    <t>Замена выключателей на ПС 220 кВ Абдрахманово, ПС 110 кВ Муслюмово, ПС 220 кВ Азнакаево, ПС 220 кВ Студенец, ПС 220 кВ Магистральная, ПС 220 кВ Заводская</t>
  </si>
  <si>
    <t>Реконструкция АБК Лаишевского РЭС филиала АО "Сетевая компания" Приволжские электрические сети</t>
  </si>
  <si>
    <t>Строительство АБК Высокогорского РЭС филиала АО "Сетевая компания" Приволжские электрические сети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</si>
  <si>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</si>
  <si>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План 
на 01.01.2023 года </t>
  </si>
  <si>
    <t>Итого (план)</t>
  </si>
  <si>
    <t>Освоение капитальных вложений в прогнозных ценах соответствующих лет, млн рублей (без НДС)</t>
  </si>
  <si>
    <t>14</t>
  </si>
  <si>
    <t>15</t>
  </si>
  <si>
    <t>Приложение №2</t>
  </si>
  <si>
    <t>к приказу Министерства промышленности и торговли РТ</t>
  </si>
  <si>
    <t>от "___"______20___г. №___</t>
  </si>
  <si>
    <t>Перечни инвестиционных проектов</t>
  </si>
  <si>
    <t>Раздел 2. План освоения капитальных вложений по инвестиционным проектам</t>
  </si>
  <si>
    <t>Акционерное общество "Сетевая компания"</t>
  </si>
  <si>
    <t xml:space="preserve"> полное наименование субъекта электроэнергетики</t>
  </si>
  <si>
    <t>Утвержденный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</si>
</sst>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_-;\-* #,##0.00_-;_-* &quot;-&quot;??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  <numFmt numFmtId="170" formatCode="0.0000"/>
    <numFmt numFmtId="171" formatCode="0.00000"/>
    <numFmt numFmtId="172" formatCode="#,##0.0_ ;\-#,##0.0\ "/>
    <numFmt numFmtId="173" formatCode="0.000000"/>
    <numFmt numFmtId="174" formatCode="#,##0.00_ ;\-#,##0.00\ "/>
  </numFmts>
  <fonts count="6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5" tint="-0.249977111117893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2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color rgb="FF00B050"/>
      <name val="Times New Roman"/>
      <family val="1"/>
      <charset val="204"/>
    </font>
    <font>
      <b/>
      <sz val="16"/>
      <color indexed="81"/>
      <name val="Tahoma"/>
      <family val="2"/>
      <charset val="204"/>
    </font>
    <font>
      <sz val="16"/>
      <color indexed="81"/>
      <name val="Tahoma"/>
      <family val="2"/>
      <charset val="204"/>
    </font>
    <font>
      <sz val="24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2FBAFF"/>
        <bgColor indexed="64"/>
      </patternFill>
    </fill>
    <fill>
      <patternFill patternType="solid">
        <fgColor rgb="FF93DB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33CA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6699FF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0" fillId="0" borderId="0"/>
    <xf numFmtId="0" fontId="32" fillId="0" borderId="0"/>
    <xf numFmtId="0" fontId="32" fillId="0" borderId="0"/>
    <xf numFmtId="165" fontId="10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6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7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230">
    <xf numFmtId="0" fontId="0" fillId="0" borderId="0" xfId="0"/>
    <xf numFmtId="0" fontId="11" fillId="0" borderId="0" xfId="0" applyFont="1"/>
    <xf numFmtId="0" fontId="33" fillId="0" borderId="0" xfId="37" applyFont="1" applyAlignment="1">
      <alignment horizontal="right"/>
    </xf>
    <xf numFmtId="0" fontId="11" fillId="0" borderId="0" xfId="0" applyFont="1" applyFill="1" applyAlignment="1"/>
    <xf numFmtId="0" fontId="33" fillId="0" borderId="0" xfId="37" applyFont="1" applyAlignment="1">
      <alignment horizontal="right" vertical="center"/>
    </xf>
    <xf numFmtId="0" fontId="34" fillId="0" borderId="0" xfId="0" applyFont="1" applyFill="1" applyAlignment="1"/>
    <xf numFmtId="0" fontId="33" fillId="0" borderId="0" xfId="0" applyFont="1" applyFill="1" applyAlignment="1"/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0" xfId="0" applyFont="1" applyFill="1"/>
    <xf numFmtId="49" fontId="11" fillId="0" borderId="10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34" fillId="0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Alignment="1">
      <alignment horizontal="center"/>
    </xf>
    <xf numFmtId="2" fontId="11" fillId="0" borderId="10" xfId="0" applyNumberFormat="1" applyFont="1" applyFill="1" applyBorder="1" applyAlignment="1">
      <alignment horizontal="center" vertical="center" wrapText="1"/>
    </xf>
    <xf numFmtId="168" fontId="34" fillId="0" borderId="10" xfId="0" applyNumberFormat="1" applyFont="1" applyFill="1" applyBorder="1" applyAlignment="1">
      <alignment horizontal="center" vertical="center"/>
    </xf>
    <xf numFmtId="1" fontId="34" fillId="0" borderId="10" xfId="0" applyNumberFormat="1" applyFont="1" applyFill="1" applyBorder="1" applyAlignment="1">
      <alignment horizontal="center" vertical="center"/>
    </xf>
    <xf numFmtId="2" fontId="34" fillId="0" borderId="10" xfId="0" applyNumberFormat="1" applyFont="1" applyFill="1" applyBorder="1" applyAlignment="1">
      <alignment horizontal="center" vertical="center"/>
    </xf>
    <xf numFmtId="168" fontId="33" fillId="0" borderId="10" xfId="0" applyNumberFormat="1" applyFont="1" applyFill="1" applyBorder="1" applyAlignment="1">
      <alignment horizontal="center" vertical="center"/>
    </xf>
    <xf numFmtId="1" fontId="33" fillId="0" borderId="10" xfId="0" applyNumberFormat="1" applyFont="1" applyFill="1" applyBorder="1" applyAlignment="1">
      <alignment horizontal="center" vertical="center"/>
    </xf>
    <xf numFmtId="2" fontId="33" fillId="0" borderId="10" xfId="0" applyNumberFormat="1" applyFont="1" applyFill="1" applyBorder="1" applyAlignment="1">
      <alignment horizontal="center" vertical="center"/>
    </xf>
    <xf numFmtId="168" fontId="34" fillId="25" borderId="10" xfId="0" applyNumberFormat="1" applyFont="1" applyFill="1" applyBorder="1" applyAlignment="1">
      <alignment horizontal="center" vertical="center"/>
    </xf>
    <xf numFmtId="1" fontId="34" fillId="25" borderId="10" xfId="0" applyNumberFormat="1" applyFont="1" applyFill="1" applyBorder="1" applyAlignment="1">
      <alignment horizontal="center" vertical="center"/>
    </xf>
    <xf numFmtId="2" fontId="34" fillId="25" borderId="10" xfId="0" applyNumberFormat="1" applyFont="1" applyFill="1" applyBorder="1" applyAlignment="1">
      <alignment horizontal="center" vertical="center"/>
    </xf>
    <xf numFmtId="168" fontId="33" fillId="27" borderId="10" xfId="0" applyNumberFormat="1" applyFont="1" applyFill="1" applyBorder="1" applyAlignment="1">
      <alignment horizontal="center" vertical="center"/>
    </xf>
    <xf numFmtId="4" fontId="33" fillId="0" borderId="10" xfId="0" applyNumberFormat="1" applyFont="1" applyFill="1" applyBorder="1" applyAlignment="1">
      <alignment horizontal="center" vertical="center" wrapText="1"/>
    </xf>
    <xf numFmtId="168" fontId="33" fillId="0" borderId="10" xfId="0" applyNumberFormat="1" applyFont="1" applyFill="1" applyBorder="1" applyAlignment="1">
      <alignment horizontal="center" vertical="center" wrapText="1"/>
    </xf>
    <xf numFmtId="2" fontId="33" fillId="0" borderId="10" xfId="0" applyNumberFormat="1" applyFont="1" applyFill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/>
    </xf>
    <xf numFmtId="168" fontId="11" fillId="0" borderId="0" xfId="0" applyNumberFormat="1" applyFont="1" applyFill="1"/>
    <xf numFmtId="168" fontId="33" fillId="29" borderId="10" xfId="0" applyNumberFormat="1" applyFont="1" applyFill="1" applyBorder="1" applyAlignment="1">
      <alignment horizontal="center" vertical="center"/>
    </xf>
    <xf numFmtId="1" fontId="33" fillId="29" borderId="10" xfId="0" applyNumberFormat="1" applyFont="1" applyFill="1" applyBorder="1" applyAlignment="1">
      <alignment horizontal="center" vertical="center"/>
    </xf>
    <xf numFmtId="2" fontId="33" fillId="29" borderId="10" xfId="0" applyNumberFormat="1" applyFont="1" applyFill="1" applyBorder="1" applyAlignment="1">
      <alignment horizontal="center" vertical="center"/>
    </xf>
    <xf numFmtId="168" fontId="34" fillId="26" borderId="10" xfId="0" applyNumberFormat="1" applyFont="1" applyFill="1" applyBorder="1" applyAlignment="1">
      <alignment horizontal="center" vertical="center" wrapText="1"/>
    </xf>
    <xf numFmtId="1" fontId="34" fillId="26" borderId="10" xfId="0" applyNumberFormat="1" applyFont="1" applyFill="1" applyBorder="1" applyAlignment="1">
      <alignment horizontal="center" vertical="center" wrapText="1"/>
    </xf>
    <xf numFmtId="2" fontId="34" fillId="26" borderId="1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/>
    <xf numFmtId="2" fontId="11" fillId="0" borderId="0" xfId="0" applyNumberFormat="1" applyFont="1"/>
    <xf numFmtId="0" fontId="11" fillId="30" borderId="0" xfId="0" applyFont="1" applyFill="1"/>
    <xf numFmtId="0" fontId="11" fillId="27" borderId="0" xfId="0" applyFont="1" applyFill="1"/>
    <xf numFmtId="168" fontId="11" fillId="27" borderId="0" xfId="0" applyNumberFormat="1" applyFont="1" applyFill="1"/>
    <xf numFmtId="0" fontId="11" fillId="27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/>
    </xf>
    <xf numFmtId="168" fontId="11" fillId="0" borderId="10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/>
    </xf>
    <xf numFmtId="0" fontId="34" fillId="0" borderId="0" xfId="54" applyFont="1" applyAlignment="1">
      <alignment vertical="center"/>
    </xf>
    <xf numFmtId="0" fontId="11" fillId="0" borderId="0" xfId="54" applyFont="1" applyAlignment="1">
      <alignment vertical="top"/>
    </xf>
    <xf numFmtId="49" fontId="12" fillId="0" borderId="10" xfId="54" applyNumberFormat="1" applyFont="1" applyFill="1" applyBorder="1" applyAlignment="1">
      <alignment horizontal="center" vertical="center"/>
    </xf>
    <xf numFmtId="0" fontId="34" fillId="0" borderId="10" xfId="54" applyFont="1" applyFill="1" applyBorder="1" applyAlignment="1">
      <alignment horizontal="center" vertical="center" wrapText="1"/>
    </xf>
    <xf numFmtId="49" fontId="11" fillId="0" borderId="10" xfId="54" applyNumberFormat="1" applyFont="1" applyFill="1" applyBorder="1" applyAlignment="1">
      <alignment horizontal="center" vertical="center"/>
    </xf>
    <xf numFmtId="49" fontId="12" fillId="25" borderId="10" xfId="54" applyNumberFormat="1" applyFont="1" applyFill="1" applyBorder="1" applyAlignment="1">
      <alignment horizontal="center" vertical="center"/>
    </xf>
    <xf numFmtId="0" fontId="34" fillId="25" borderId="10" xfId="54" applyFont="1" applyFill="1" applyBorder="1" applyAlignment="1">
      <alignment horizontal="center" vertical="center" wrapText="1"/>
    </xf>
    <xf numFmtId="49" fontId="12" fillId="26" borderId="10" xfId="54" applyNumberFormat="1" applyFont="1" applyFill="1" applyBorder="1" applyAlignment="1">
      <alignment horizontal="center" vertical="center"/>
    </xf>
    <xf numFmtId="0" fontId="34" fillId="26" borderId="10" xfId="54" applyFont="1" applyFill="1" applyBorder="1" applyAlignment="1">
      <alignment horizontal="center" vertical="center" wrapText="1"/>
    </xf>
    <xf numFmtId="49" fontId="11" fillId="29" borderId="10" xfId="54" applyNumberFormat="1" applyFont="1" applyFill="1" applyBorder="1" applyAlignment="1">
      <alignment horizontal="center" vertical="center"/>
    </xf>
    <xf numFmtId="0" fontId="33" fillId="29" borderId="10" xfId="54" applyFont="1" applyFill="1" applyBorder="1" applyAlignment="1">
      <alignment horizontal="center" vertical="center" wrapText="1"/>
    </xf>
    <xf numFmtId="170" fontId="11" fillId="0" borderId="0" xfId="0" applyNumberFormat="1" applyFont="1" applyFill="1" applyAlignment="1">
      <alignment horizontal="left"/>
    </xf>
    <xf numFmtId="171" fontId="11" fillId="0" borderId="0" xfId="0" applyNumberFormat="1" applyFont="1" applyFill="1"/>
    <xf numFmtId="171" fontId="34" fillId="0" borderId="0" xfId="0" applyNumberFormat="1" applyFont="1" applyFill="1" applyAlignment="1">
      <alignment horizontal="center"/>
    </xf>
    <xf numFmtId="0" fontId="41" fillId="0" borderId="0" xfId="0" applyFont="1" applyFill="1"/>
    <xf numFmtId="0" fontId="43" fillId="24" borderId="10" xfId="54" applyFont="1" applyFill="1" applyBorder="1" applyAlignment="1">
      <alignment horizontal="center" vertical="center" wrapText="1"/>
    </xf>
    <xf numFmtId="168" fontId="43" fillId="24" borderId="10" xfId="54" applyNumberFormat="1" applyFont="1" applyFill="1" applyBorder="1" applyAlignment="1">
      <alignment horizontal="center" vertical="center" wrapText="1"/>
    </xf>
    <xf numFmtId="1" fontId="43" fillId="24" borderId="10" xfId="54" applyNumberFormat="1" applyFont="1" applyFill="1" applyBorder="1" applyAlignment="1">
      <alignment horizontal="center" vertical="center" wrapText="1"/>
    </xf>
    <xf numFmtId="4" fontId="43" fillId="24" borderId="10" xfId="54" applyNumberFormat="1" applyFont="1" applyFill="1" applyBorder="1" applyAlignment="1">
      <alignment horizontal="center" vertical="center" wrapText="1"/>
    </xf>
    <xf numFmtId="0" fontId="44" fillId="0" borderId="0" xfId="0" applyFont="1" applyFill="1"/>
    <xf numFmtId="168" fontId="44" fillId="0" borderId="0" xfId="0" applyNumberFormat="1" applyFont="1" applyFill="1"/>
    <xf numFmtId="0" fontId="44" fillId="0" borderId="0" xfId="0" applyFont="1"/>
    <xf numFmtId="169" fontId="44" fillId="0" borderId="0" xfId="0" applyNumberFormat="1" applyFont="1" applyFill="1"/>
    <xf numFmtId="168" fontId="44" fillId="0" borderId="0" xfId="0" applyNumberFormat="1" applyFont="1"/>
    <xf numFmtId="49" fontId="42" fillId="0" borderId="10" xfId="54" applyNumberFormat="1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center" vertical="center" wrapText="1"/>
    </xf>
    <xf numFmtId="2" fontId="44" fillId="0" borderId="0" xfId="0" applyNumberFormat="1" applyFont="1"/>
    <xf numFmtId="164" fontId="44" fillId="0" borderId="0" xfId="271" applyNumberFormat="1" applyFont="1"/>
    <xf numFmtId="172" fontId="44" fillId="0" borderId="10" xfId="271" applyNumberFormat="1" applyFont="1" applyBorder="1"/>
    <xf numFmtId="49" fontId="33" fillId="0" borderId="10" xfId="54" applyNumberFormat="1" applyFont="1" applyFill="1" applyBorder="1" applyAlignment="1">
      <alignment horizontal="left" vertical="center" wrapText="1"/>
    </xf>
    <xf numFmtId="0" fontId="33" fillId="0" borderId="10" xfId="54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left" vertical="center" wrapText="1"/>
    </xf>
    <xf numFmtId="49" fontId="33" fillId="0" borderId="16" xfId="54" applyNumberFormat="1" applyFont="1" applyFill="1" applyBorder="1" applyAlignment="1">
      <alignment horizontal="left" vertical="center" wrapText="1"/>
    </xf>
    <xf numFmtId="49" fontId="33" fillId="0" borderId="10" xfId="54" applyNumberFormat="1" applyFont="1" applyFill="1" applyBorder="1" applyAlignment="1">
      <alignment vertical="center" wrapText="1"/>
    </xf>
    <xf numFmtId="0" fontId="42" fillId="0" borderId="10" xfId="0" applyFont="1" applyBorder="1" applyAlignment="1">
      <alignment vertical="center" wrapText="1"/>
    </xf>
    <xf numFmtId="49" fontId="42" fillId="0" borderId="10" xfId="54" applyNumberFormat="1" applyFont="1" applyFill="1" applyBorder="1" applyAlignment="1">
      <alignment vertical="center" wrapText="1"/>
    </xf>
    <xf numFmtId="2" fontId="47" fillId="0" borderId="0" xfId="0" applyNumberFormat="1" applyFont="1" applyFill="1"/>
    <xf numFmtId="0" fontId="46" fillId="0" borderId="0" xfId="0" applyFont="1" applyFill="1" applyAlignment="1">
      <alignment horizontal="center" vertical="center"/>
    </xf>
    <xf numFmtId="169" fontId="33" fillId="0" borderId="10" xfId="0" applyNumberFormat="1" applyFont="1" applyFill="1" applyBorder="1" applyAlignment="1">
      <alignment horizontal="center" vertical="center"/>
    </xf>
    <xf numFmtId="2" fontId="44" fillId="0" borderId="0" xfId="0" applyNumberFormat="1" applyFont="1" applyFill="1"/>
    <xf numFmtId="164" fontId="44" fillId="0" borderId="0" xfId="271" applyNumberFormat="1" applyFont="1" applyFill="1"/>
    <xf numFmtId="1" fontId="12" fillId="27" borderId="20" xfId="0" applyNumberFormat="1" applyFont="1" applyFill="1" applyBorder="1" applyAlignment="1">
      <alignment vertical="top"/>
    </xf>
    <xf numFmtId="2" fontId="12" fillId="27" borderId="20" xfId="0" applyNumberFormat="1" applyFont="1" applyFill="1" applyBorder="1" applyAlignment="1">
      <alignment horizontal="center" vertical="center"/>
    </xf>
    <xf numFmtId="1" fontId="12" fillId="27" borderId="0" xfId="0" applyNumberFormat="1" applyFont="1" applyFill="1" applyBorder="1" applyAlignment="1">
      <alignment vertical="top"/>
    </xf>
    <xf numFmtId="2" fontId="44" fillId="28" borderId="0" xfId="0" applyNumberFormat="1" applyFont="1" applyFill="1"/>
    <xf numFmtId="173" fontId="12" fillId="27" borderId="20" xfId="0" applyNumberFormat="1" applyFont="1" applyFill="1" applyBorder="1" applyAlignment="1">
      <alignment horizontal="center" vertical="center"/>
    </xf>
    <xf numFmtId="168" fontId="48" fillId="0" borderId="10" xfId="0" applyNumberFormat="1" applyFont="1" applyFill="1" applyBorder="1" applyAlignment="1">
      <alignment horizontal="center" vertical="center"/>
    </xf>
    <xf numFmtId="49" fontId="50" fillId="0" borderId="10" xfId="0" applyNumberFormat="1" applyFont="1" applyFill="1" applyBorder="1" applyAlignment="1">
      <alignment horizontal="left" vertical="center" wrapText="1"/>
    </xf>
    <xf numFmtId="168" fontId="51" fillId="24" borderId="10" xfId="54" applyNumberFormat="1" applyFont="1" applyFill="1" applyBorder="1" applyAlignment="1">
      <alignment horizontal="center" vertical="center" wrapText="1"/>
    </xf>
    <xf numFmtId="168" fontId="51" fillId="0" borderId="10" xfId="0" applyNumberFormat="1" applyFont="1" applyFill="1" applyBorder="1" applyAlignment="1">
      <alignment horizontal="center" vertical="center"/>
    </xf>
    <xf numFmtId="168" fontId="51" fillId="25" borderId="10" xfId="0" applyNumberFormat="1" applyFont="1" applyFill="1" applyBorder="1" applyAlignment="1">
      <alignment horizontal="center" vertical="center"/>
    </xf>
    <xf numFmtId="168" fontId="51" fillId="26" borderId="10" xfId="0" applyNumberFormat="1" applyFont="1" applyFill="1" applyBorder="1" applyAlignment="1">
      <alignment horizontal="center" vertical="center" wrapText="1"/>
    </xf>
    <xf numFmtId="168" fontId="50" fillId="29" borderId="10" xfId="0" applyNumberFormat="1" applyFont="1" applyFill="1" applyBorder="1" applyAlignment="1">
      <alignment horizontal="center" vertical="center"/>
    </xf>
    <xf numFmtId="168" fontId="50" fillId="0" borderId="10" xfId="0" applyNumberFormat="1" applyFont="1" applyFill="1" applyBorder="1" applyAlignment="1">
      <alignment horizontal="center" vertical="center"/>
    </xf>
    <xf numFmtId="172" fontId="44" fillId="0" borderId="10" xfId="271" applyNumberFormat="1" applyFont="1" applyFill="1" applyBorder="1"/>
    <xf numFmtId="168" fontId="33" fillId="28" borderId="10" xfId="0" applyNumberFormat="1" applyFont="1" applyFill="1" applyBorder="1" applyAlignment="1">
      <alignment horizontal="center" vertical="center" wrapText="1"/>
    </xf>
    <xf numFmtId="168" fontId="33" fillId="0" borderId="12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/>
    </xf>
    <xf numFmtId="2" fontId="11" fillId="0" borderId="10" xfId="0" applyNumberFormat="1" applyFont="1" applyFill="1" applyBorder="1"/>
    <xf numFmtId="171" fontId="44" fillId="0" borderId="0" xfId="0" applyNumberFormat="1" applyFont="1" applyFill="1"/>
    <xf numFmtId="168" fontId="33" fillId="28" borderId="1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27" borderId="0" xfId="0" applyFont="1" applyFill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2" fillId="0" borderId="10" xfId="0" applyFont="1" applyFill="1" applyBorder="1" applyAlignment="1">
      <alignment horizontal="left" vertical="center" wrapText="1"/>
    </xf>
    <xf numFmtId="171" fontId="33" fillId="0" borderId="10" xfId="0" applyNumberFormat="1" applyFont="1" applyFill="1" applyBorder="1" applyAlignment="1">
      <alignment horizontal="center" vertical="center"/>
    </xf>
    <xf numFmtId="2" fontId="44" fillId="0" borderId="10" xfId="0" applyNumberFormat="1" applyFont="1" applyFill="1" applyBorder="1" applyAlignment="1">
      <alignment horizontal="center" vertical="center"/>
    </xf>
    <xf numFmtId="170" fontId="33" fillId="0" borderId="10" xfId="0" applyNumberFormat="1" applyFont="1" applyFill="1" applyBorder="1" applyAlignment="1">
      <alignment horizontal="center" vertical="center"/>
    </xf>
    <xf numFmtId="173" fontId="33" fillId="0" borderId="10" xfId="0" applyNumberFormat="1" applyFont="1" applyFill="1" applyBorder="1" applyAlignment="1">
      <alignment horizontal="center" vertical="center"/>
    </xf>
    <xf numFmtId="168" fontId="11" fillId="0" borderId="0" xfId="0" applyNumberFormat="1" applyFont="1" applyAlignment="1">
      <alignment horizontal="center"/>
    </xf>
    <xf numFmtId="169" fontId="11" fillId="0" borderId="0" xfId="0" applyNumberFormat="1" applyFont="1" applyFill="1"/>
    <xf numFmtId="168" fontId="44" fillId="33" borderId="10" xfId="0" applyNumberFormat="1" applyFont="1" applyFill="1" applyBorder="1"/>
    <xf numFmtId="0" fontId="11" fillId="33" borderId="10" xfId="0" applyFont="1" applyFill="1" applyBorder="1"/>
    <xf numFmtId="0" fontId="44" fillId="33" borderId="12" xfId="0" applyFont="1" applyFill="1" applyBorder="1" applyAlignment="1">
      <alignment horizontal="center" vertical="center"/>
    </xf>
    <xf numFmtId="0" fontId="11" fillId="33" borderId="12" xfId="0" applyFont="1" applyFill="1" applyBorder="1"/>
    <xf numFmtId="168" fontId="44" fillId="33" borderId="12" xfId="0" applyNumberFormat="1" applyFont="1" applyFill="1" applyBorder="1"/>
    <xf numFmtId="0" fontId="44" fillId="33" borderId="10" xfId="0" applyFont="1" applyFill="1" applyBorder="1"/>
    <xf numFmtId="0" fontId="11" fillId="33" borderId="10" xfId="0" applyFont="1" applyFill="1" applyBorder="1" applyAlignment="1">
      <alignment horizontal="center" vertical="center" wrapText="1"/>
    </xf>
    <xf numFmtId="168" fontId="44" fillId="32" borderId="10" xfId="0" applyNumberFormat="1" applyFont="1" applyFill="1" applyBorder="1"/>
    <xf numFmtId="169" fontId="34" fillId="0" borderId="0" xfId="0" applyNumberFormat="1" applyFont="1" applyFill="1" applyAlignment="1">
      <alignment horizontal="center"/>
    </xf>
    <xf numFmtId="0" fontId="54" fillId="35" borderId="10" xfId="0" applyFont="1" applyFill="1" applyBorder="1" applyAlignment="1">
      <alignment horizontal="center" vertical="center" wrapText="1"/>
    </xf>
    <xf numFmtId="2" fontId="44" fillId="35" borderId="10" xfId="0" applyNumberFormat="1" applyFont="1" applyFill="1" applyBorder="1"/>
    <xf numFmtId="2" fontId="11" fillId="35" borderId="10" xfId="0" applyNumberFormat="1" applyFont="1" applyFill="1" applyBorder="1"/>
    <xf numFmtId="2" fontId="60" fillId="0" borderId="0" xfId="0" applyNumberFormat="1" applyFont="1" applyFill="1" applyAlignment="1">
      <alignment horizontal="center" wrapText="1"/>
    </xf>
    <xf numFmtId="2" fontId="52" fillId="0" borderId="0" xfId="0" applyNumberFormat="1" applyFont="1" applyFill="1" applyAlignment="1">
      <alignment horizontal="center" wrapText="1"/>
    </xf>
    <xf numFmtId="4" fontId="11" fillId="0" borderId="0" xfId="0" applyNumberFormat="1" applyFont="1"/>
    <xf numFmtId="4" fontId="11" fillId="0" borderId="0" xfId="0" applyNumberFormat="1" applyFont="1" applyAlignment="1">
      <alignment horizontal="center"/>
    </xf>
    <xf numFmtId="49" fontId="47" fillId="0" borderId="10" xfId="54" applyNumberFormat="1" applyFont="1" applyFill="1" applyBorder="1" applyAlignment="1">
      <alignment horizontal="center" vertical="center"/>
    </xf>
    <xf numFmtId="0" fontId="63" fillId="0" borderId="0" xfId="0" applyFont="1" applyFill="1"/>
    <xf numFmtId="0" fontId="33" fillId="0" borderId="10" xfId="0" applyFont="1" applyBorder="1" applyAlignment="1">
      <alignment vertical="center" wrapText="1"/>
    </xf>
    <xf numFmtId="0" fontId="33" fillId="0" borderId="10" xfId="0" applyFont="1" applyFill="1" applyBorder="1" applyAlignment="1">
      <alignment vertical="center" wrapText="1"/>
    </xf>
    <xf numFmtId="0" fontId="33" fillId="0" borderId="10" xfId="0" applyFont="1" applyBorder="1" applyAlignment="1">
      <alignment horizontal="center" vertical="center" wrapText="1"/>
    </xf>
    <xf numFmtId="168" fontId="33" fillId="36" borderId="10" xfId="0" applyNumberFormat="1" applyFont="1" applyFill="1" applyBorder="1" applyAlignment="1">
      <alignment horizontal="center" vertical="center"/>
    </xf>
    <xf numFmtId="4" fontId="33" fillId="34" borderId="10" xfId="0" applyNumberFormat="1" applyFont="1" applyFill="1" applyBorder="1" applyAlignment="1">
      <alignment horizontal="center" vertical="center" wrapText="1"/>
    </xf>
    <xf numFmtId="1" fontId="33" fillId="34" borderId="10" xfId="0" applyNumberFormat="1" applyFont="1" applyFill="1" applyBorder="1" applyAlignment="1">
      <alignment horizontal="center" vertical="center"/>
    </xf>
    <xf numFmtId="0" fontId="33" fillId="34" borderId="10" xfId="0" applyFont="1" applyFill="1" applyBorder="1" applyAlignment="1">
      <alignment horizontal="center" vertical="center"/>
    </xf>
    <xf numFmtId="49" fontId="50" fillId="34" borderId="10" xfId="0" applyNumberFormat="1" applyFont="1" applyFill="1" applyBorder="1" applyAlignment="1">
      <alignment horizontal="left" vertical="center" wrapText="1"/>
    </xf>
    <xf numFmtId="0" fontId="11" fillId="37" borderId="10" xfId="0" applyFont="1" applyFill="1" applyBorder="1" applyAlignment="1">
      <alignment horizontal="center" vertical="center" wrapText="1"/>
    </xf>
    <xf numFmtId="168" fontId="33" fillId="31" borderId="10" xfId="0" applyNumberFormat="1" applyFont="1" applyFill="1" applyBorder="1" applyAlignment="1">
      <alignment horizontal="center" vertical="center"/>
    </xf>
    <xf numFmtId="164" fontId="44" fillId="0" borderId="0" xfId="271" applyFont="1" applyFill="1"/>
    <xf numFmtId="169" fontId="44" fillId="0" borderId="0" xfId="0" applyNumberFormat="1" applyFont="1"/>
    <xf numFmtId="168" fontId="11" fillId="0" borderId="0" xfId="0" applyNumberFormat="1" applyFont="1"/>
    <xf numFmtId="49" fontId="0" fillId="0" borderId="10" xfId="54" applyNumberFormat="1" applyFont="1" applyFill="1" applyBorder="1" applyAlignment="1">
      <alignment horizontal="center" vertical="center"/>
    </xf>
    <xf numFmtId="169" fontId="43" fillId="24" borderId="10" xfId="54" applyNumberFormat="1" applyFont="1" applyFill="1" applyBorder="1" applyAlignment="1">
      <alignment horizontal="center" vertical="center" wrapText="1"/>
    </xf>
    <xf numFmtId="170" fontId="43" fillId="24" borderId="10" xfId="54" applyNumberFormat="1" applyFont="1" applyFill="1" applyBorder="1" applyAlignment="1">
      <alignment horizontal="center" vertical="center" wrapText="1"/>
    </xf>
    <xf numFmtId="168" fontId="33" fillId="38" borderId="10" xfId="0" applyNumberFormat="1" applyFont="1" applyFill="1" applyBorder="1" applyAlignment="1">
      <alignment horizontal="center" vertical="center"/>
    </xf>
    <xf numFmtId="170" fontId="42" fillId="38" borderId="10" xfId="0" applyNumberFormat="1" applyFont="1" applyFill="1" applyBorder="1" applyAlignment="1">
      <alignment horizontal="center" vertical="center"/>
    </xf>
    <xf numFmtId="170" fontId="33" fillId="38" borderId="10" xfId="0" applyNumberFormat="1" applyFont="1" applyFill="1" applyBorder="1" applyAlignment="1">
      <alignment horizontal="center" vertical="center"/>
    </xf>
    <xf numFmtId="168" fontId="33" fillId="38" borderId="10" xfId="0" applyNumberFormat="1" applyFont="1" applyFill="1" applyBorder="1" applyAlignment="1">
      <alignment horizontal="center" vertical="center" wrapText="1"/>
    </xf>
    <xf numFmtId="168" fontId="42" fillId="38" borderId="10" xfId="0" applyNumberFormat="1" applyFont="1" applyFill="1" applyBorder="1" applyAlignment="1">
      <alignment horizontal="center" vertical="center" wrapText="1"/>
    </xf>
    <xf numFmtId="49" fontId="33" fillId="38" borderId="10" xfId="54" applyNumberFormat="1" applyFont="1" applyFill="1" applyBorder="1" applyAlignment="1">
      <alignment horizontal="left" vertical="center" wrapText="1"/>
    </xf>
    <xf numFmtId="49" fontId="34" fillId="0" borderId="10" xfId="54" applyNumberFormat="1" applyFont="1" applyFill="1" applyBorder="1" applyAlignment="1">
      <alignment horizontal="left" vertical="center" wrapText="1"/>
    </xf>
    <xf numFmtId="0" fontId="0" fillId="0" borderId="10" xfId="0" applyFont="1" applyBorder="1" applyAlignment="1">
      <alignment vertical="center" wrapText="1"/>
    </xf>
    <xf numFmtId="168" fontId="44" fillId="0" borderId="0" xfId="0" applyNumberFormat="1" applyFont="1" applyAlignment="1">
      <alignment horizontal="center"/>
    </xf>
    <xf numFmtId="49" fontId="50" fillId="0" borderId="10" xfId="0" applyNumberFormat="1" applyFont="1" applyFill="1" applyBorder="1" applyAlignment="1">
      <alignment horizontal="center" vertical="center" wrapText="1"/>
    </xf>
    <xf numFmtId="49" fontId="50" fillId="34" borderId="1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Alignment="1">
      <alignment horizontal="center"/>
    </xf>
    <xf numFmtId="169" fontId="11" fillId="0" borderId="0" xfId="0" applyNumberFormat="1" applyFont="1"/>
    <xf numFmtId="0" fontId="11" fillId="0" borderId="1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168" fontId="11" fillId="0" borderId="0" xfId="0" applyNumberFormat="1" applyFont="1" applyFill="1" applyAlignment="1">
      <alignment horizontal="center"/>
    </xf>
    <xf numFmtId="0" fontId="44" fillId="33" borderId="10" xfId="0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/>
    </xf>
    <xf numFmtId="168" fontId="34" fillId="0" borderId="0" xfId="0" applyNumberFormat="1" applyFont="1" applyFill="1" applyAlignment="1">
      <alignment horizontal="center"/>
    </xf>
    <xf numFmtId="0" fontId="12" fillId="28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168" fontId="33" fillId="34" borderId="10" xfId="0" applyNumberFormat="1" applyFont="1" applyFill="1" applyBorder="1" applyAlignment="1">
      <alignment horizontal="center" vertical="center"/>
    </xf>
    <xf numFmtId="2" fontId="33" fillId="34" borderId="10" xfId="0" applyNumberFormat="1" applyFont="1" applyFill="1" applyBorder="1" applyAlignment="1">
      <alignment horizontal="center" vertical="center"/>
    </xf>
    <xf numFmtId="168" fontId="33" fillId="34" borderId="10" xfId="0" applyNumberFormat="1" applyFont="1" applyFill="1" applyBorder="1" applyAlignment="1">
      <alignment horizontal="center" vertical="center" wrapText="1"/>
    </xf>
    <xf numFmtId="174" fontId="44" fillId="0" borderId="0" xfId="271" applyNumberFormat="1" applyFont="1"/>
    <xf numFmtId="0" fontId="11" fillId="0" borderId="0" xfId="0" applyFont="1" applyFill="1" applyAlignment="1">
      <alignment horizont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1" fontId="12" fillId="0" borderId="20" xfId="0" applyNumberFormat="1" applyFont="1" applyFill="1" applyBorder="1" applyAlignment="1">
      <alignment vertical="top"/>
    </xf>
    <xf numFmtId="2" fontId="12" fillId="0" borderId="20" xfId="0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43" fillId="0" borderId="10" xfId="54" applyFont="1" applyFill="1" applyBorder="1" applyAlignment="1">
      <alignment horizontal="center" vertical="center" wrapText="1"/>
    </xf>
    <xf numFmtId="168" fontId="43" fillId="0" borderId="10" xfId="54" applyNumberFormat="1" applyFont="1" applyFill="1" applyBorder="1" applyAlignment="1">
      <alignment horizontal="center" vertical="center" wrapText="1"/>
    </xf>
    <xf numFmtId="1" fontId="43" fillId="0" borderId="10" xfId="54" applyNumberFormat="1" applyFont="1" applyFill="1" applyBorder="1" applyAlignment="1">
      <alignment horizontal="center" vertical="center" wrapText="1"/>
    </xf>
    <xf numFmtId="168" fontId="34" fillId="0" borderId="10" xfId="0" applyNumberFormat="1" applyFont="1" applyFill="1" applyBorder="1" applyAlignment="1">
      <alignment horizontal="center" vertical="center" wrapText="1"/>
    </xf>
    <xf numFmtId="1" fontId="34" fillId="0" borderId="10" xfId="0" applyNumberFormat="1" applyFont="1" applyFill="1" applyBorder="1" applyAlignment="1">
      <alignment horizontal="center" vertical="center" wrapText="1"/>
    </xf>
    <xf numFmtId="0" fontId="33" fillId="0" borderId="10" xfId="54" applyFont="1" applyFill="1" applyBorder="1" applyAlignment="1">
      <alignment horizontal="center" vertical="center" wrapText="1"/>
    </xf>
    <xf numFmtId="0" fontId="33" fillId="0" borderId="10" xfId="0" applyFont="1" applyFill="1" applyBorder="1"/>
    <xf numFmtId="0" fontId="12" fillId="0" borderId="10" xfId="0" applyFont="1" applyFill="1" applyBorder="1" applyAlignment="1">
      <alignment horizontal="center" vertical="center"/>
    </xf>
    <xf numFmtId="0" fontId="11" fillId="0" borderId="10" xfId="36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right"/>
    </xf>
    <xf numFmtId="0" fontId="34" fillId="0" borderId="0" xfId="54" applyFont="1" applyAlignment="1">
      <alignment horizontal="center" vertical="center"/>
    </xf>
    <xf numFmtId="0" fontId="12" fillId="0" borderId="0" xfId="54" applyFont="1" applyAlignment="1">
      <alignment horizontal="center" vertical="top"/>
    </xf>
    <xf numFmtId="0" fontId="33" fillId="0" borderId="0" xfId="54" applyFont="1" applyFill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textRotation="90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44" fillId="33" borderId="10" xfId="0" applyFont="1" applyFill="1" applyBorder="1" applyAlignment="1">
      <alignment horizontal="center" vertical="center"/>
    </xf>
    <xf numFmtId="0" fontId="44" fillId="33" borderId="14" xfId="0" applyFont="1" applyFill="1" applyBorder="1" applyAlignment="1">
      <alignment horizontal="center" vertical="center"/>
    </xf>
    <xf numFmtId="0" fontId="44" fillId="33" borderId="20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0" fontId="12" fillId="0" borderId="12" xfId="0" applyFont="1" applyFill="1" applyBorder="1" applyAlignment="1">
      <alignment horizontal="center" vertical="center" wrapText="1"/>
    </xf>
    <xf numFmtId="168" fontId="12" fillId="0" borderId="15" xfId="0" applyNumberFormat="1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168" fontId="12" fillId="0" borderId="14" xfId="0" applyNumberFormat="1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28" borderId="10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/>
    </xf>
    <xf numFmtId="168" fontId="34" fillId="0" borderId="0" xfId="0" applyNumberFormat="1" applyFont="1" applyFill="1" applyAlignment="1">
      <alignment horizontal="center"/>
    </xf>
    <xf numFmtId="0" fontId="33" fillId="0" borderId="0" xfId="54" applyFont="1" applyAlignment="1">
      <alignment horizontal="center" vertical="center"/>
    </xf>
    <xf numFmtId="168" fontId="33" fillId="0" borderId="0" xfId="54" applyNumberFormat="1" applyFont="1" applyAlignment="1">
      <alignment horizontal="center" vertical="center"/>
    </xf>
    <xf numFmtId="0" fontId="11" fillId="0" borderId="0" xfId="54" applyFont="1" applyAlignment="1">
      <alignment horizontal="center" vertical="top"/>
    </xf>
    <xf numFmtId="168" fontId="11" fillId="0" borderId="0" xfId="54" applyNumberFormat="1" applyFont="1" applyAlignment="1">
      <alignment horizontal="center" vertical="top"/>
    </xf>
    <xf numFmtId="168" fontId="33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168" fontId="11" fillId="0" borderId="0" xfId="0" applyNumberFormat="1" applyFont="1" applyFill="1" applyAlignment="1">
      <alignment horizontal="center"/>
    </xf>
  </cellXfs>
  <cellStyles count="272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" xfId="271" builtinId="3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FF"/>
      <color rgb="FFFF6161"/>
      <color rgb="FF66FFFF"/>
      <color rgb="FFCCCCFF"/>
      <color rgb="FF99FF66"/>
      <color rgb="FF66CCFF"/>
      <color rgb="FFCCFF66"/>
      <color rgb="FF00FF99"/>
      <color rgb="FF37CB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274"/>
  <sheetViews>
    <sheetView tabSelected="1" view="pageBreakPreview" topLeftCell="A10" zoomScale="55" zoomScaleNormal="55" zoomScaleSheetLayoutView="55" workbookViewId="0">
      <selection activeCell="D15" sqref="D15"/>
    </sheetView>
  </sheetViews>
  <sheetFormatPr defaultColWidth="9" defaultRowHeight="15.75" x14ac:dyDescent="0.25"/>
  <cols>
    <col min="1" max="1" width="3.875" style="44" bestFit="1" customWidth="1"/>
    <col min="2" max="2" width="8.75" style="8" bestFit="1" customWidth="1"/>
    <col min="3" max="3" width="80.125" style="10" customWidth="1"/>
    <col min="4" max="4" width="31.375" style="8" customWidth="1"/>
    <col min="5" max="5" width="12.25" style="8" customWidth="1"/>
    <col min="6" max="6" width="16.875" style="8" customWidth="1"/>
    <col min="7" max="7" width="26.375" style="8" customWidth="1"/>
    <col min="8" max="8" width="16.75" style="8" customWidth="1"/>
    <col min="9" max="9" width="15.375" style="8" customWidth="1"/>
    <col min="10" max="12" width="16.75" style="8" customWidth="1"/>
    <col min="13" max="13" width="11" style="8" customWidth="1"/>
    <col min="14" max="14" width="16.75" style="8" customWidth="1"/>
    <col min="15" max="15" width="22.25" style="8" customWidth="1"/>
    <col min="16" max="16" width="24" style="8" customWidth="1"/>
    <col min="17" max="17" width="31.125" style="8" customWidth="1"/>
    <col min="18" max="18" width="9" style="8" customWidth="1"/>
    <col min="19" max="16384" width="9" style="8"/>
  </cols>
  <sheetData>
    <row r="1" spans="1:18" ht="18.75" customHeight="1" x14ac:dyDescent="0.3">
      <c r="C1" s="58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195" t="s">
        <v>658</v>
      </c>
      <c r="P1" s="195"/>
      <c r="Q1" s="195"/>
    </row>
    <row r="2" spans="1:18" ht="18.75" customHeight="1" x14ac:dyDescent="0.3">
      <c r="O2" s="195" t="s">
        <v>659</v>
      </c>
      <c r="P2" s="195"/>
      <c r="Q2" s="195"/>
    </row>
    <row r="3" spans="1:18" ht="18.75" customHeight="1" x14ac:dyDescent="0.3">
      <c r="G3" s="38"/>
      <c r="H3" s="38"/>
      <c r="I3" s="38"/>
      <c r="J3" s="38"/>
      <c r="O3" s="195" t="s">
        <v>660</v>
      </c>
      <c r="P3" s="195"/>
      <c r="Q3" s="195"/>
    </row>
    <row r="4" spans="1:18" ht="18.75" customHeight="1" x14ac:dyDescent="0.25">
      <c r="B4" s="196" t="s">
        <v>661</v>
      </c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</row>
    <row r="5" spans="1:18" ht="18.75" customHeight="1" x14ac:dyDescent="0.25">
      <c r="B5" s="197" t="s">
        <v>662</v>
      </c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</row>
    <row r="6" spans="1:18" ht="18.75" customHeight="1" x14ac:dyDescent="0.25"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</row>
    <row r="7" spans="1:18" ht="15.75" customHeight="1" x14ac:dyDescent="0.3">
      <c r="B7" s="193" t="s">
        <v>663</v>
      </c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</row>
    <row r="8" spans="1:18" ht="18.75" customHeight="1" x14ac:dyDescent="0.3">
      <c r="B8" s="194" t="s">
        <v>664</v>
      </c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</row>
    <row r="9" spans="1:18" ht="20.25" customHeight="1" x14ac:dyDescent="0.25">
      <c r="B9" s="181"/>
      <c r="C9" s="181"/>
      <c r="D9" s="181"/>
      <c r="E9" s="181"/>
      <c r="F9" s="181"/>
      <c r="G9" s="181"/>
      <c r="H9" s="182"/>
      <c r="I9" s="182"/>
      <c r="J9" s="182"/>
      <c r="K9" s="182"/>
      <c r="L9" s="182"/>
      <c r="M9" s="182"/>
      <c r="N9" s="182"/>
      <c r="O9" s="182"/>
      <c r="P9" s="182"/>
      <c r="Q9" s="182"/>
    </row>
    <row r="10" spans="1:18" ht="125.25" customHeight="1" x14ac:dyDescent="0.25">
      <c r="B10" s="199" t="s">
        <v>120</v>
      </c>
      <c r="C10" s="199" t="s">
        <v>6</v>
      </c>
      <c r="D10" s="199" t="s">
        <v>119</v>
      </c>
      <c r="E10" s="203" t="s">
        <v>11</v>
      </c>
      <c r="F10" s="199" t="s">
        <v>12</v>
      </c>
      <c r="G10" s="199" t="s">
        <v>652</v>
      </c>
      <c r="H10" s="201" t="s">
        <v>122</v>
      </c>
      <c r="I10" s="201"/>
      <c r="J10" s="201"/>
      <c r="K10" s="201"/>
      <c r="L10" s="202"/>
      <c r="M10" s="201" t="s">
        <v>123</v>
      </c>
      <c r="N10" s="202"/>
      <c r="O10" s="199" t="s">
        <v>655</v>
      </c>
      <c r="P10" s="199"/>
      <c r="Q10" s="199"/>
    </row>
    <row r="11" spans="1:18" ht="126" customHeight="1" x14ac:dyDescent="0.25">
      <c r="B11" s="199"/>
      <c r="C11" s="199"/>
      <c r="D11" s="199"/>
      <c r="E11" s="203"/>
      <c r="F11" s="199"/>
      <c r="G11" s="199"/>
      <c r="H11" s="204" t="s">
        <v>2</v>
      </c>
      <c r="I11" s="205"/>
      <c r="J11" s="205"/>
      <c r="K11" s="205"/>
      <c r="L11" s="206"/>
      <c r="M11" s="200" t="s">
        <v>653</v>
      </c>
      <c r="N11" s="200"/>
      <c r="O11" s="191" t="s">
        <v>135</v>
      </c>
      <c r="P11" s="191" t="s">
        <v>136</v>
      </c>
      <c r="Q11" s="199" t="s">
        <v>654</v>
      </c>
    </row>
    <row r="12" spans="1:18" ht="122.25" customHeight="1" x14ac:dyDescent="0.25">
      <c r="B12" s="199"/>
      <c r="C12" s="199"/>
      <c r="D12" s="199"/>
      <c r="E12" s="203"/>
      <c r="F12" s="13" t="s">
        <v>2</v>
      </c>
      <c r="G12" s="13" t="s">
        <v>2</v>
      </c>
      <c r="H12" s="14" t="s">
        <v>1</v>
      </c>
      <c r="I12" s="14" t="s">
        <v>4</v>
      </c>
      <c r="J12" s="14" t="s">
        <v>5</v>
      </c>
      <c r="K12" s="7" t="s">
        <v>7</v>
      </c>
      <c r="L12" s="7" t="s">
        <v>8</v>
      </c>
      <c r="M12" s="14" t="s">
        <v>0</v>
      </c>
      <c r="N12" s="14" t="s">
        <v>3</v>
      </c>
      <c r="O12" s="192" t="s">
        <v>665</v>
      </c>
      <c r="P12" s="192" t="s">
        <v>665</v>
      </c>
      <c r="Q12" s="200"/>
    </row>
    <row r="13" spans="1:18" s="180" customFormat="1" ht="19.5" customHeight="1" x14ac:dyDescent="0.25">
      <c r="A13" s="44"/>
      <c r="B13" s="179">
        <v>1</v>
      </c>
      <c r="C13" s="179">
        <v>2</v>
      </c>
      <c r="D13" s="179">
        <v>3</v>
      </c>
      <c r="E13" s="179">
        <v>4</v>
      </c>
      <c r="F13" s="179">
        <v>5</v>
      </c>
      <c r="G13" s="179">
        <v>6</v>
      </c>
      <c r="H13" s="179">
        <v>7</v>
      </c>
      <c r="I13" s="179">
        <v>8</v>
      </c>
      <c r="J13" s="179">
        <v>9</v>
      </c>
      <c r="K13" s="179">
        <v>10</v>
      </c>
      <c r="L13" s="179">
        <v>11</v>
      </c>
      <c r="M13" s="179">
        <v>12</v>
      </c>
      <c r="N13" s="179">
        <v>13</v>
      </c>
      <c r="O13" s="9" t="s">
        <v>656</v>
      </c>
      <c r="P13" s="9" t="s">
        <v>657</v>
      </c>
      <c r="Q13" s="179">
        <v>16</v>
      </c>
    </row>
    <row r="14" spans="1:18" s="66" customFormat="1" ht="48.75" customHeight="1" x14ac:dyDescent="0.3">
      <c r="A14" s="183"/>
      <c r="B14" s="184" t="s">
        <v>25</v>
      </c>
      <c r="C14" s="184" t="s">
        <v>26</v>
      </c>
      <c r="D14" s="185" t="s">
        <v>129</v>
      </c>
      <c r="E14" s="186" t="s">
        <v>131</v>
      </c>
      <c r="F14" s="186" t="s">
        <v>131</v>
      </c>
      <c r="G14" s="185" t="s">
        <v>131</v>
      </c>
      <c r="H14" s="185">
        <v>69960.986324650221</v>
      </c>
      <c r="I14" s="185">
        <v>4662.5689097840741</v>
      </c>
      <c r="J14" s="185">
        <v>40821.683944933611</v>
      </c>
      <c r="K14" s="185">
        <v>14859.198590669243</v>
      </c>
      <c r="L14" s="185">
        <v>9603.9848792632911</v>
      </c>
      <c r="M14" s="185" t="s">
        <v>131</v>
      </c>
      <c r="N14" s="185">
        <v>34023.051503959992</v>
      </c>
      <c r="O14" s="185">
        <v>14998.92808410999</v>
      </c>
      <c r="P14" s="185">
        <v>13379.157999999999</v>
      </c>
      <c r="Q14" s="185">
        <v>28378.086084109989</v>
      </c>
    </row>
    <row r="15" spans="1:18" ht="18.75" x14ac:dyDescent="0.25">
      <c r="B15" s="49" t="s">
        <v>27</v>
      </c>
      <c r="C15" s="50" t="s">
        <v>28</v>
      </c>
      <c r="D15" s="17" t="s">
        <v>129</v>
      </c>
      <c r="E15" s="18" t="s">
        <v>131</v>
      </c>
      <c r="F15" s="18" t="s">
        <v>131</v>
      </c>
      <c r="G15" s="17" t="s">
        <v>131</v>
      </c>
      <c r="H15" s="17">
        <v>18965.593994020001</v>
      </c>
      <c r="I15" s="17">
        <v>1609.3971454360315</v>
      </c>
      <c r="J15" s="17">
        <v>15207.959048180084</v>
      </c>
      <c r="K15" s="17">
        <v>463.21515191813762</v>
      </c>
      <c r="L15" s="17">
        <v>1685.0226484857442</v>
      </c>
      <c r="M15" s="17" t="s">
        <v>131</v>
      </c>
      <c r="N15" s="17">
        <v>8396.7359040199917</v>
      </c>
      <c r="O15" s="17">
        <v>3896.7359040199894</v>
      </c>
      <c r="P15" s="17">
        <v>4500</v>
      </c>
      <c r="Q15" s="187">
        <v>8396.7359040199899</v>
      </c>
    </row>
    <row r="16" spans="1:18" ht="18.75" x14ac:dyDescent="0.25">
      <c r="B16" s="49" t="s">
        <v>29</v>
      </c>
      <c r="C16" s="50" t="s">
        <v>30</v>
      </c>
      <c r="D16" s="17" t="s">
        <v>129</v>
      </c>
      <c r="E16" s="18" t="s">
        <v>131</v>
      </c>
      <c r="F16" s="18" t="s">
        <v>131</v>
      </c>
      <c r="G16" s="17" t="s">
        <v>131</v>
      </c>
      <c r="H16" s="17">
        <v>40240.36042589022</v>
      </c>
      <c r="I16" s="17">
        <v>2732.8801849454785</v>
      </c>
      <c r="J16" s="17">
        <v>22620.742379556519</v>
      </c>
      <c r="K16" s="17">
        <v>12050.401807607202</v>
      </c>
      <c r="L16" s="17">
        <v>2834.7860537810216</v>
      </c>
      <c r="M16" s="17" t="s">
        <v>131</v>
      </c>
      <c r="N16" s="17">
        <v>20993.128816819997</v>
      </c>
      <c r="O16" s="17">
        <v>8958.2343651400006</v>
      </c>
      <c r="P16" s="17">
        <v>6712.5289999999986</v>
      </c>
      <c r="Q16" s="187">
        <v>15670.763365139999</v>
      </c>
    </row>
    <row r="17" spans="2:17" ht="56.25" x14ac:dyDescent="0.25">
      <c r="B17" s="49" t="s">
        <v>31</v>
      </c>
      <c r="C17" s="50" t="s">
        <v>32</v>
      </c>
      <c r="D17" s="17" t="s">
        <v>129</v>
      </c>
      <c r="E17" s="18" t="s">
        <v>131</v>
      </c>
      <c r="F17" s="18" t="s">
        <v>131</v>
      </c>
      <c r="G17" s="17" t="s">
        <v>131</v>
      </c>
      <c r="H17" s="17">
        <v>1001.9674685</v>
      </c>
      <c r="I17" s="17">
        <v>50.098373425000005</v>
      </c>
      <c r="J17" s="17">
        <v>250.491867125</v>
      </c>
      <c r="K17" s="17">
        <v>641.25917984000012</v>
      </c>
      <c r="L17" s="17">
        <v>60.118048110000004</v>
      </c>
      <c r="M17" s="17" t="s">
        <v>131</v>
      </c>
      <c r="N17" s="17">
        <v>986.49996850000014</v>
      </c>
      <c r="O17" s="17">
        <v>342.53996850000004</v>
      </c>
      <c r="P17" s="17">
        <v>643.96</v>
      </c>
      <c r="Q17" s="187">
        <v>986.49996850000002</v>
      </c>
    </row>
    <row r="18" spans="2:17" ht="37.5" x14ac:dyDescent="0.25">
      <c r="B18" s="49" t="s">
        <v>33</v>
      </c>
      <c r="C18" s="50" t="s">
        <v>34</v>
      </c>
      <c r="D18" s="17" t="s">
        <v>129</v>
      </c>
      <c r="E18" s="18" t="s">
        <v>131</v>
      </c>
      <c r="F18" s="18" t="s">
        <v>131</v>
      </c>
      <c r="G18" s="17" t="s">
        <v>131</v>
      </c>
      <c r="H18" s="17">
        <v>3055.49631</v>
      </c>
      <c r="I18" s="17">
        <v>139.165965916094</v>
      </c>
      <c r="J18" s="17">
        <v>1992.9816888728767</v>
      </c>
      <c r="K18" s="17">
        <v>763.51101167281877</v>
      </c>
      <c r="L18" s="17">
        <v>147.83764353821047</v>
      </c>
      <c r="M18" s="17" t="s">
        <v>131</v>
      </c>
      <c r="N18" s="17">
        <v>983.68920999999989</v>
      </c>
      <c r="O18" s="17">
        <v>396.55391183</v>
      </c>
      <c r="P18" s="17">
        <v>263.79000000000002</v>
      </c>
      <c r="Q18" s="187">
        <v>660.34391183000002</v>
      </c>
    </row>
    <row r="19" spans="2:17" ht="37.5" x14ac:dyDescent="0.25">
      <c r="B19" s="49" t="s">
        <v>35</v>
      </c>
      <c r="C19" s="50" t="s">
        <v>36</v>
      </c>
      <c r="D19" s="17" t="s">
        <v>129</v>
      </c>
      <c r="E19" s="18" t="s">
        <v>131</v>
      </c>
      <c r="F19" s="18" t="s">
        <v>131</v>
      </c>
      <c r="G19" s="17" t="s">
        <v>131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 t="s">
        <v>131</v>
      </c>
      <c r="N19" s="17">
        <v>0</v>
      </c>
      <c r="O19" s="17">
        <v>0</v>
      </c>
      <c r="P19" s="17">
        <v>0</v>
      </c>
      <c r="Q19" s="187">
        <v>0</v>
      </c>
    </row>
    <row r="20" spans="2:17" ht="18.75" x14ac:dyDescent="0.25">
      <c r="B20" s="49" t="s">
        <v>37</v>
      </c>
      <c r="C20" s="50" t="s">
        <v>38</v>
      </c>
      <c r="D20" s="17" t="s">
        <v>129</v>
      </c>
      <c r="E20" s="18" t="s">
        <v>131</v>
      </c>
      <c r="F20" s="18" t="s">
        <v>131</v>
      </c>
      <c r="G20" s="17" t="s">
        <v>131</v>
      </c>
      <c r="H20" s="17">
        <v>6697.5681262400003</v>
      </c>
      <c r="I20" s="17">
        <v>131.02724006146903</v>
      </c>
      <c r="J20" s="17">
        <v>749.50896119913239</v>
      </c>
      <c r="K20" s="17">
        <v>940.81143963108332</v>
      </c>
      <c r="L20" s="17">
        <v>4876.2204853483145</v>
      </c>
      <c r="M20" s="17" t="s">
        <v>131</v>
      </c>
      <c r="N20" s="17">
        <v>2662.9976046199995</v>
      </c>
      <c r="O20" s="17">
        <v>1404.86393462</v>
      </c>
      <c r="P20" s="17">
        <v>1258.8789999999999</v>
      </c>
      <c r="Q20" s="187">
        <v>2663.7429346199997</v>
      </c>
    </row>
    <row r="21" spans="2:17" ht="18.75" x14ac:dyDescent="0.25">
      <c r="B21" s="51" t="s">
        <v>39</v>
      </c>
      <c r="C21" s="50" t="s">
        <v>40</v>
      </c>
      <c r="D21" s="17" t="s">
        <v>129</v>
      </c>
      <c r="E21" s="18" t="s">
        <v>131</v>
      </c>
      <c r="F21" s="18" t="s">
        <v>131</v>
      </c>
      <c r="G21" s="17" t="s">
        <v>131</v>
      </c>
      <c r="H21" s="17">
        <v>69960.986324650221</v>
      </c>
      <c r="I21" s="17">
        <v>4662.5689097840741</v>
      </c>
      <c r="J21" s="17">
        <v>40821.683944933611</v>
      </c>
      <c r="K21" s="17">
        <v>14859.198590669243</v>
      </c>
      <c r="L21" s="17">
        <v>9603.9848792632911</v>
      </c>
      <c r="M21" s="17" t="s">
        <v>131</v>
      </c>
      <c r="N21" s="17">
        <v>34023.051503959992</v>
      </c>
      <c r="O21" s="17">
        <v>14998.92808410999</v>
      </c>
      <c r="P21" s="17">
        <v>13379.157999999999</v>
      </c>
      <c r="Q21" s="187">
        <v>28378.086084109989</v>
      </c>
    </row>
    <row r="22" spans="2:17" ht="28.5" customHeight="1" x14ac:dyDescent="0.25">
      <c r="B22" s="49" t="s">
        <v>41</v>
      </c>
      <c r="C22" s="50" t="s">
        <v>42</v>
      </c>
      <c r="D22" s="17" t="s">
        <v>129</v>
      </c>
      <c r="E22" s="18" t="s">
        <v>131</v>
      </c>
      <c r="F22" s="18" t="s">
        <v>131</v>
      </c>
      <c r="G22" s="17" t="s">
        <v>131</v>
      </c>
      <c r="H22" s="17">
        <v>18965.593994020001</v>
      </c>
      <c r="I22" s="17">
        <v>1609.3971454360315</v>
      </c>
      <c r="J22" s="17">
        <v>15207.959048180084</v>
      </c>
      <c r="K22" s="17">
        <v>463.21515191813762</v>
      </c>
      <c r="L22" s="17">
        <v>1685.0226484857442</v>
      </c>
      <c r="M22" s="17" t="s">
        <v>131</v>
      </c>
      <c r="N22" s="17">
        <v>8396.7359040199917</v>
      </c>
      <c r="O22" s="17">
        <v>3896.7359040199894</v>
      </c>
      <c r="P22" s="17">
        <v>4500</v>
      </c>
      <c r="Q22" s="187">
        <v>8396.7359040199899</v>
      </c>
    </row>
    <row r="23" spans="2:17" ht="37.5" x14ac:dyDescent="0.25">
      <c r="B23" s="49" t="s">
        <v>43</v>
      </c>
      <c r="C23" s="50" t="s">
        <v>44</v>
      </c>
      <c r="D23" s="187" t="s">
        <v>129</v>
      </c>
      <c r="E23" s="188" t="s">
        <v>131</v>
      </c>
      <c r="F23" s="188" t="s">
        <v>131</v>
      </c>
      <c r="G23" s="187" t="s">
        <v>131</v>
      </c>
      <c r="H23" s="187">
        <v>17416.130439919998</v>
      </c>
      <c r="I23" s="187">
        <v>1507.8339746490315</v>
      </c>
      <c r="J23" s="187">
        <v>14088.727333295084</v>
      </c>
      <c r="K23" s="187">
        <v>233.80136799513758</v>
      </c>
      <c r="L23" s="187">
        <v>1585.7677639807441</v>
      </c>
      <c r="M23" s="187" t="s">
        <v>131</v>
      </c>
      <c r="N23" s="187">
        <v>8108.839639919991</v>
      </c>
      <c r="O23" s="187">
        <v>3608.8396399199896</v>
      </c>
      <c r="P23" s="187">
        <v>4500</v>
      </c>
      <c r="Q23" s="187">
        <v>8108.8396399199901</v>
      </c>
    </row>
    <row r="24" spans="2:17" ht="37.5" x14ac:dyDescent="0.25">
      <c r="B24" s="51" t="s">
        <v>45</v>
      </c>
      <c r="C24" s="77" t="s">
        <v>46</v>
      </c>
      <c r="D24" s="28" t="s">
        <v>129</v>
      </c>
      <c r="E24" s="21">
        <v>2020</v>
      </c>
      <c r="F24" s="21">
        <v>2024</v>
      </c>
      <c r="G24" s="20" t="s">
        <v>131</v>
      </c>
      <c r="H24" s="20">
        <v>7793.1559466495601</v>
      </c>
      <c r="I24" s="20">
        <v>545.5365253219876</v>
      </c>
      <c r="J24" s="20">
        <v>6390.3477386787335</v>
      </c>
      <c r="K24" s="20">
        <v>233.80136799513758</v>
      </c>
      <c r="L24" s="20">
        <v>623.47031465370014</v>
      </c>
      <c r="M24" s="20" t="s">
        <v>131</v>
      </c>
      <c r="N24" s="20">
        <v>3935.1978140749907</v>
      </c>
      <c r="O24" s="20">
        <v>1910.1978140749898</v>
      </c>
      <c r="P24" s="20">
        <v>2025</v>
      </c>
      <c r="Q24" s="20">
        <v>3935.1978140749898</v>
      </c>
    </row>
    <row r="25" spans="2:17" ht="37.5" x14ac:dyDescent="0.25">
      <c r="B25" s="51" t="s">
        <v>47</v>
      </c>
      <c r="C25" s="77" t="s">
        <v>48</v>
      </c>
      <c r="D25" s="28" t="s">
        <v>129</v>
      </c>
      <c r="E25" s="21">
        <v>2020</v>
      </c>
      <c r="F25" s="21">
        <v>2024</v>
      </c>
      <c r="G25" s="20" t="s">
        <v>131</v>
      </c>
      <c r="H25" s="20">
        <v>8314.2473163403301</v>
      </c>
      <c r="I25" s="20">
        <v>831.42473163403304</v>
      </c>
      <c r="J25" s="20">
        <v>6651.3978530722643</v>
      </c>
      <c r="K25" s="20">
        <v>0</v>
      </c>
      <c r="L25" s="20">
        <v>831.42473163403304</v>
      </c>
      <c r="M25" s="20" t="s">
        <v>131</v>
      </c>
      <c r="N25" s="20">
        <v>4173.6418258450003</v>
      </c>
      <c r="O25" s="20">
        <v>1698.6418258449999</v>
      </c>
      <c r="P25" s="20">
        <v>2475</v>
      </c>
      <c r="Q25" s="20">
        <v>4173.6418258449994</v>
      </c>
    </row>
    <row r="26" spans="2:17" ht="37.5" x14ac:dyDescent="0.25">
      <c r="B26" s="51" t="s">
        <v>49</v>
      </c>
      <c r="C26" s="77" t="s">
        <v>578</v>
      </c>
      <c r="D26" s="28" t="s">
        <v>129</v>
      </c>
      <c r="E26" s="21">
        <v>2020</v>
      </c>
      <c r="F26" s="21">
        <v>2024</v>
      </c>
      <c r="G26" s="20" t="s">
        <v>131</v>
      </c>
      <c r="H26" s="20">
        <v>1308.727176930109</v>
      </c>
      <c r="I26" s="20">
        <v>130.87271769301091</v>
      </c>
      <c r="J26" s="20">
        <v>1046.9817415440873</v>
      </c>
      <c r="K26" s="20">
        <v>0</v>
      </c>
      <c r="L26" s="20">
        <v>130.87271769301091</v>
      </c>
      <c r="M26" s="20" t="s">
        <v>131</v>
      </c>
      <c r="N26" s="20">
        <v>-1.1368683772161603E-13</v>
      </c>
      <c r="O26" s="20">
        <v>0</v>
      </c>
      <c r="P26" s="20">
        <v>0</v>
      </c>
      <c r="Q26" s="20">
        <v>0</v>
      </c>
    </row>
    <row r="27" spans="2:17" ht="37.5" x14ac:dyDescent="0.25">
      <c r="B27" s="49" t="s">
        <v>50</v>
      </c>
      <c r="C27" s="50" t="s">
        <v>51</v>
      </c>
      <c r="D27" s="187" t="s">
        <v>129</v>
      </c>
      <c r="E27" s="188" t="s">
        <v>131</v>
      </c>
      <c r="F27" s="188" t="s">
        <v>131</v>
      </c>
      <c r="G27" s="187" t="s">
        <v>131</v>
      </c>
      <c r="H27" s="187">
        <v>0</v>
      </c>
      <c r="I27" s="187">
        <v>0</v>
      </c>
      <c r="J27" s="187">
        <v>0</v>
      </c>
      <c r="K27" s="187">
        <v>0</v>
      </c>
      <c r="L27" s="187">
        <v>0</v>
      </c>
      <c r="M27" s="187" t="s">
        <v>131</v>
      </c>
      <c r="N27" s="187">
        <v>0</v>
      </c>
      <c r="O27" s="187">
        <v>0</v>
      </c>
      <c r="P27" s="187">
        <v>0</v>
      </c>
      <c r="Q27" s="20">
        <v>0</v>
      </c>
    </row>
    <row r="28" spans="2:17" ht="56.25" x14ac:dyDescent="0.25">
      <c r="B28" s="51" t="s">
        <v>52</v>
      </c>
      <c r="C28" s="189" t="s">
        <v>53</v>
      </c>
      <c r="D28" s="20" t="s">
        <v>129</v>
      </c>
      <c r="E28" s="21" t="s">
        <v>131</v>
      </c>
      <c r="F28" s="21" t="s">
        <v>131</v>
      </c>
      <c r="G28" s="20" t="s">
        <v>131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 t="s">
        <v>131</v>
      </c>
      <c r="N28" s="20">
        <v>0</v>
      </c>
      <c r="O28" s="20">
        <v>0</v>
      </c>
      <c r="P28" s="20">
        <v>0</v>
      </c>
      <c r="Q28" s="20">
        <v>0</v>
      </c>
    </row>
    <row r="29" spans="2:17" ht="37.5" x14ac:dyDescent="0.25">
      <c r="B29" s="51" t="s">
        <v>54</v>
      </c>
      <c r="C29" s="189" t="s">
        <v>55</v>
      </c>
      <c r="D29" s="20" t="s">
        <v>129</v>
      </c>
      <c r="E29" s="21" t="s">
        <v>131</v>
      </c>
      <c r="F29" s="21" t="s">
        <v>131</v>
      </c>
      <c r="G29" s="20" t="s">
        <v>131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 t="s">
        <v>131</v>
      </c>
      <c r="N29" s="20">
        <v>0</v>
      </c>
      <c r="O29" s="20">
        <v>0</v>
      </c>
      <c r="P29" s="20">
        <v>0</v>
      </c>
      <c r="Q29" s="20">
        <v>0</v>
      </c>
    </row>
    <row r="30" spans="2:17" ht="37.5" x14ac:dyDescent="0.25">
      <c r="B30" s="49" t="s">
        <v>56</v>
      </c>
      <c r="C30" s="50" t="s">
        <v>57</v>
      </c>
      <c r="D30" s="187" t="s">
        <v>129</v>
      </c>
      <c r="E30" s="188" t="s">
        <v>131</v>
      </c>
      <c r="F30" s="188" t="s">
        <v>131</v>
      </c>
      <c r="G30" s="187" t="s">
        <v>131</v>
      </c>
      <c r="H30" s="187">
        <v>1007.1996541</v>
      </c>
      <c r="I30" s="187">
        <v>70.503975787000016</v>
      </c>
      <c r="J30" s="187">
        <v>863.31273988500004</v>
      </c>
      <c r="K30" s="187">
        <v>8.6368879229999997</v>
      </c>
      <c r="L30" s="187">
        <v>64.746050504999999</v>
      </c>
      <c r="M30" s="187" t="s">
        <v>131</v>
      </c>
      <c r="N30" s="187">
        <v>287.8962641</v>
      </c>
      <c r="O30" s="187">
        <v>287.8962641</v>
      </c>
      <c r="P30" s="187">
        <v>0</v>
      </c>
      <c r="Q30" s="187">
        <v>287.8962641</v>
      </c>
    </row>
    <row r="31" spans="2:17" ht="18.75" x14ac:dyDescent="0.25">
      <c r="B31" s="51" t="s">
        <v>58</v>
      </c>
      <c r="C31" s="158" t="s">
        <v>585</v>
      </c>
      <c r="D31" s="28" t="s">
        <v>129</v>
      </c>
      <c r="E31" s="21">
        <v>2020</v>
      </c>
      <c r="F31" s="21">
        <v>2021</v>
      </c>
      <c r="G31" s="20" t="s">
        <v>131</v>
      </c>
      <c r="H31" s="20">
        <v>703.25859000000003</v>
      </c>
      <c r="I31" s="20">
        <v>49.228101300000006</v>
      </c>
      <c r="J31" s="20">
        <v>604.80238740000004</v>
      </c>
      <c r="K31" s="20">
        <v>0</v>
      </c>
      <c r="L31" s="20">
        <v>49.228101300000006</v>
      </c>
      <c r="M31" s="20" t="s">
        <v>131</v>
      </c>
      <c r="N31" s="20">
        <v>0</v>
      </c>
      <c r="O31" s="20">
        <v>0</v>
      </c>
      <c r="P31" s="20">
        <v>0</v>
      </c>
      <c r="Q31" s="20">
        <v>0</v>
      </c>
    </row>
    <row r="32" spans="2:17" ht="87.75" customHeight="1" x14ac:dyDescent="0.25">
      <c r="B32" s="51" t="s">
        <v>58</v>
      </c>
      <c r="C32" s="77" t="s">
        <v>430</v>
      </c>
      <c r="D32" s="28" t="s">
        <v>129</v>
      </c>
      <c r="E32" s="21" t="s">
        <v>131</v>
      </c>
      <c r="F32" s="21" t="s">
        <v>131</v>
      </c>
      <c r="G32" s="20" t="s">
        <v>131</v>
      </c>
      <c r="H32" s="20">
        <v>406.53489000000002</v>
      </c>
      <c r="I32" s="20">
        <v>28.457442300000004</v>
      </c>
      <c r="J32" s="20">
        <v>349.62000540000003</v>
      </c>
      <c r="K32" s="20">
        <v>0</v>
      </c>
      <c r="L32" s="20">
        <v>28.457442300000004</v>
      </c>
      <c r="M32" s="20" t="s">
        <v>131</v>
      </c>
      <c r="N32" s="20">
        <v>0</v>
      </c>
      <c r="O32" s="20">
        <v>0</v>
      </c>
      <c r="P32" s="20">
        <v>0</v>
      </c>
      <c r="Q32" s="20">
        <v>0</v>
      </c>
    </row>
    <row r="33" spans="2:17" ht="128.25" customHeight="1" x14ac:dyDescent="0.25">
      <c r="B33" s="51" t="s">
        <v>58</v>
      </c>
      <c r="C33" s="77" t="s">
        <v>589</v>
      </c>
      <c r="D33" s="28" t="s">
        <v>509</v>
      </c>
      <c r="E33" s="21">
        <v>2020</v>
      </c>
      <c r="F33" s="21">
        <v>2021</v>
      </c>
      <c r="G33" s="20" t="s">
        <v>131</v>
      </c>
      <c r="H33" s="20">
        <v>406.53489000000002</v>
      </c>
      <c r="I33" s="20">
        <v>28.457442300000004</v>
      </c>
      <c r="J33" s="20">
        <v>349.62000540000003</v>
      </c>
      <c r="K33" s="20">
        <v>0</v>
      </c>
      <c r="L33" s="20">
        <v>28.457442300000004</v>
      </c>
      <c r="M33" s="20" t="s">
        <v>131</v>
      </c>
      <c r="N33" s="20">
        <v>0</v>
      </c>
      <c r="O33" s="20">
        <v>0</v>
      </c>
      <c r="P33" s="20">
        <v>0</v>
      </c>
      <c r="Q33" s="20">
        <v>0</v>
      </c>
    </row>
    <row r="34" spans="2:17" ht="59.25" customHeight="1" x14ac:dyDescent="0.25">
      <c r="B34" s="51" t="s">
        <v>58</v>
      </c>
      <c r="C34" s="77" t="s">
        <v>431</v>
      </c>
      <c r="D34" s="28" t="s">
        <v>129</v>
      </c>
      <c r="E34" s="21" t="s">
        <v>131</v>
      </c>
      <c r="F34" s="21" t="s">
        <v>131</v>
      </c>
      <c r="G34" s="20" t="s">
        <v>131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 t="s">
        <v>131</v>
      </c>
      <c r="N34" s="20">
        <v>0</v>
      </c>
      <c r="O34" s="20">
        <v>0</v>
      </c>
      <c r="P34" s="20">
        <v>0</v>
      </c>
      <c r="Q34" s="20">
        <v>0</v>
      </c>
    </row>
    <row r="35" spans="2:17" ht="56.25" x14ac:dyDescent="0.25">
      <c r="B35" s="51" t="s">
        <v>58</v>
      </c>
      <c r="C35" s="77" t="s">
        <v>591</v>
      </c>
      <c r="D35" s="28" t="s">
        <v>129</v>
      </c>
      <c r="E35" s="21" t="s">
        <v>131</v>
      </c>
      <c r="F35" s="21" t="s">
        <v>131</v>
      </c>
      <c r="G35" s="20" t="s">
        <v>131</v>
      </c>
      <c r="H35" s="20">
        <v>296.72370000000001</v>
      </c>
      <c r="I35" s="20">
        <v>20.770659000000002</v>
      </c>
      <c r="J35" s="20">
        <v>255.18238199999999</v>
      </c>
      <c r="K35" s="20">
        <v>0</v>
      </c>
      <c r="L35" s="20">
        <v>20.770659000000002</v>
      </c>
      <c r="M35" s="20" t="s">
        <v>131</v>
      </c>
      <c r="N35" s="20">
        <v>2.8421709430404007E-14</v>
      </c>
      <c r="O35" s="20">
        <v>0</v>
      </c>
      <c r="P35" s="20">
        <v>0</v>
      </c>
      <c r="Q35" s="20">
        <v>0</v>
      </c>
    </row>
    <row r="36" spans="2:17" ht="56.25" x14ac:dyDescent="0.25">
      <c r="B36" s="51" t="s">
        <v>58</v>
      </c>
      <c r="C36" s="77" t="s">
        <v>600</v>
      </c>
      <c r="D36" s="28" t="s">
        <v>597</v>
      </c>
      <c r="E36" s="21">
        <v>2020</v>
      </c>
      <c r="F36" s="21">
        <v>2021</v>
      </c>
      <c r="G36" s="20" t="s">
        <v>131</v>
      </c>
      <c r="H36" s="20">
        <v>296.72370000000001</v>
      </c>
      <c r="I36" s="20">
        <v>20.770659000000002</v>
      </c>
      <c r="J36" s="20">
        <v>255.18238199999999</v>
      </c>
      <c r="K36" s="20">
        <v>0</v>
      </c>
      <c r="L36" s="20">
        <v>20.770659000000002</v>
      </c>
      <c r="M36" s="20" t="s">
        <v>131</v>
      </c>
      <c r="N36" s="20">
        <v>2.8421709430404007E-14</v>
      </c>
      <c r="O36" s="20">
        <v>0</v>
      </c>
      <c r="P36" s="20">
        <v>0</v>
      </c>
      <c r="Q36" s="20">
        <v>0</v>
      </c>
    </row>
    <row r="37" spans="2:17" ht="45" customHeight="1" x14ac:dyDescent="0.25">
      <c r="B37" s="51" t="s">
        <v>576</v>
      </c>
      <c r="C37" s="158" t="s">
        <v>577</v>
      </c>
      <c r="D37" s="28" t="s">
        <v>129</v>
      </c>
      <c r="E37" s="21">
        <v>2022</v>
      </c>
      <c r="F37" s="21">
        <v>2023</v>
      </c>
      <c r="G37" s="20" t="s">
        <v>131</v>
      </c>
      <c r="H37" s="20">
        <v>287.8962641</v>
      </c>
      <c r="I37" s="20">
        <v>20.152738487000001</v>
      </c>
      <c r="J37" s="20">
        <v>244.71182448499999</v>
      </c>
      <c r="K37" s="20">
        <v>8.6368879229999997</v>
      </c>
      <c r="L37" s="20">
        <v>14.394813205</v>
      </c>
      <c r="M37" s="20" t="s">
        <v>131</v>
      </c>
      <c r="N37" s="20">
        <v>287.8962641</v>
      </c>
      <c r="O37" s="20">
        <v>287.8962641</v>
      </c>
      <c r="P37" s="20">
        <v>0</v>
      </c>
      <c r="Q37" s="20">
        <v>287.8962641</v>
      </c>
    </row>
    <row r="38" spans="2:17" ht="95.25" customHeight="1" x14ac:dyDescent="0.25">
      <c r="B38" s="51" t="s">
        <v>576</v>
      </c>
      <c r="C38" s="77" t="s">
        <v>590</v>
      </c>
      <c r="D38" s="28" t="s">
        <v>129</v>
      </c>
      <c r="E38" s="21" t="s">
        <v>131</v>
      </c>
      <c r="F38" s="21" t="s">
        <v>131</v>
      </c>
      <c r="G38" s="20" t="s">
        <v>131</v>
      </c>
      <c r="H38" s="20">
        <v>287.8962641</v>
      </c>
      <c r="I38" s="20">
        <v>20.152738487000001</v>
      </c>
      <c r="J38" s="20">
        <v>244.71182448499999</v>
      </c>
      <c r="K38" s="20">
        <v>8.6368879229999997</v>
      </c>
      <c r="L38" s="20">
        <v>14.394813205</v>
      </c>
      <c r="M38" s="20" t="s">
        <v>131</v>
      </c>
      <c r="N38" s="20">
        <v>287.8962641</v>
      </c>
      <c r="O38" s="20">
        <v>287.8962641</v>
      </c>
      <c r="P38" s="20">
        <v>0</v>
      </c>
      <c r="Q38" s="20">
        <v>287.8962641</v>
      </c>
    </row>
    <row r="39" spans="2:17" ht="158.25" customHeight="1" x14ac:dyDescent="0.25">
      <c r="B39" s="134" t="s">
        <v>576</v>
      </c>
      <c r="C39" s="77" t="s">
        <v>592</v>
      </c>
      <c r="D39" s="28" t="s">
        <v>527</v>
      </c>
      <c r="E39" s="21">
        <v>2022</v>
      </c>
      <c r="F39" s="21">
        <v>2023</v>
      </c>
      <c r="G39" s="20" t="s">
        <v>131</v>
      </c>
      <c r="H39" s="20">
        <v>287.8962641</v>
      </c>
      <c r="I39" s="20">
        <v>20.152738487000001</v>
      </c>
      <c r="J39" s="20">
        <v>244.71182448499999</v>
      </c>
      <c r="K39" s="20">
        <v>8.6368879229999997</v>
      </c>
      <c r="L39" s="20">
        <v>14.394813205</v>
      </c>
      <c r="M39" s="20" t="s">
        <v>131</v>
      </c>
      <c r="N39" s="20">
        <v>287.8962641</v>
      </c>
      <c r="O39" s="20">
        <v>287.8962641</v>
      </c>
      <c r="P39" s="20">
        <v>0</v>
      </c>
      <c r="Q39" s="20">
        <v>287.8962641</v>
      </c>
    </row>
    <row r="40" spans="2:17" ht="56.25" x14ac:dyDescent="0.25">
      <c r="B40" s="51" t="s">
        <v>576</v>
      </c>
      <c r="C40" s="77" t="s">
        <v>588</v>
      </c>
      <c r="D40" s="28" t="s">
        <v>129</v>
      </c>
      <c r="E40" s="21" t="s">
        <v>131</v>
      </c>
      <c r="F40" s="21" t="s">
        <v>131</v>
      </c>
      <c r="G40" s="20" t="s">
        <v>131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 t="s">
        <v>131</v>
      </c>
      <c r="N40" s="20">
        <v>0</v>
      </c>
      <c r="O40" s="20">
        <v>0</v>
      </c>
      <c r="P40" s="20">
        <v>0</v>
      </c>
      <c r="Q40" s="20">
        <v>0</v>
      </c>
    </row>
    <row r="41" spans="2:17" ht="56.25" x14ac:dyDescent="0.25">
      <c r="B41" s="51" t="s">
        <v>576</v>
      </c>
      <c r="C41" s="77" t="s">
        <v>432</v>
      </c>
      <c r="D41" s="28" t="s">
        <v>129</v>
      </c>
      <c r="E41" s="21" t="s">
        <v>131</v>
      </c>
      <c r="F41" s="21" t="s">
        <v>131</v>
      </c>
      <c r="G41" s="20" t="s">
        <v>131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 t="s">
        <v>131</v>
      </c>
      <c r="N41" s="20">
        <v>0</v>
      </c>
      <c r="O41" s="20">
        <v>0</v>
      </c>
      <c r="P41" s="20">
        <v>0</v>
      </c>
      <c r="Q41" s="20">
        <v>0</v>
      </c>
    </row>
    <row r="42" spans="2:17" ht="51.75" customHeight="1" x14ac:dyDescent="0.25">
      <c r="B42" s="51" t="s">
        <v>586</v>
      </c>
      <c r="C42" s="158" t="s">
        <v>587</v>
      </c>
      <c r="D42" s="28" t="s">
        <v>129</v>
      </c>
      <c r="E42" s="21">
        <v>2022</v>
      </c>
      <c r="F42" s="21">
        <v>2022</v>
      </c>
      <c r="G42" s="20" t="s">
        <v>131</v>
      </c>
      <c r="H42" s="20">
        <v>16.044799999999999</v>
      </c>
      <c r="I42" s="20">
        <v>1.1231359999999999</v>
      </c>
      <c r="J42" s="20">
        <v>13.798527999999999</v>
      </c>
      <c r="K42" s="20">
        <v>0</v>
      </c>
      <c r="L42" s="20">
        <v>1.1231359999999999</v>
      </c>
      <c r="M42" s="20" t="s">
        <v>131</v>
      </c>
      <c r="N42" s="20">
        <v>0</v>
      </c>
      <c r="O42" s="20">
        <v>0</v>
      </c>
      <c r="P42" s="20">
        <v>0</v>
      </c>
      <c r="Q42" s="20">
        <v>0</v>
      </c>
    </row>
    <row r="43" spans="2:17" ht="75" x14ac:dyDescent="0.25">
      <c r="B43" s="51" t="s">
        <v>586</v>
      </c>
      <c r="C43" s="77" t="s">
        <v>590</v>
      </c>
      <c r="D43" s="28" t="s">
        <v>129</v>
      </c>
      <c r="E43" s="21" t="s">
        <v>131</v>
      </c>
      <c r="F43" s="21" t="s">
        <v>131</v>
      </c>
      <c r="G43" s="20" t="s">
        <v>131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 t="s">
        <v>131</v>
      </c>
      <c r="N43" s="20">
        <v>0</v>
      </c>
      <c r="O43" s="20">
        <v>0</v>
      </c>
      <c r="P43" s="20">
        <v>0</v>
      </c>
      <c r="Q43" s="20">
        <v>0</v>
      </c>
    </row>
    <row r="44" spans="2:17" ht="56.25" x14ac:dyDescent="0.25">
      <c r="B44" s="51" t="s">
        <v>586</v>
      </c>
      <c r="C44" s="77" t="s">
        <v>588</v>
      </c>
      <c r="D44" s="28" t="s">
        <v>129</v>
      </c>
      <c r="E44" s="21" t="s">
        <v>131</v>
      </c>
      <c r="F44" s="21" t="s">
        <v>131</v>
      </c>
      <c r="G44" s="20" t="s">
        <v>131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 t="s">
        <v>131</v>
      </c>
      <c r="N44" s="20">
        <v>0</v>
      </c>
      <c r="O44" s="20">
        <v>0</v>
      </c>
      <c r="P44" s="20">
        <v>0</v>
      </c>
      <c r="Q44" s="20">
        <v>0</v>
      </c>
    </row>
    <row r="45" spans="2:17" ht="56.25" x14ac:dyDescent="0.25">
      <c r="B45" s="51" t="s">
        <v>586</v>
      </c>
      <c r="C45" s="77" t="s">
        <v>432</v>
      </c>
      <c r="D45" s="28" t="s">
        <v>129</v>
      </c>
      <c r="E45" s="21" t="s">
        <v>131</v>
      </c>
      <c r="F45" s="21" t="s">
        <v>131</v>
      </c>
      <c r="G45" s="20" t="s">
        <v>131</v>
      </c>
      <c r="H45" s="20">
        <v>16.044799999999999</v>
      </c>
      <c r="I45" s="20">
        <v>1.1231359999999999</v>
      </c>
      <c r="J45" s="20">
        <v>13.798527999999999</v>
      </c>
      <c r="K45" s="20">
        <v>0</v>
      </c>
      <c r="L45" s="20">
        <v>1.1231359999999999</v>
      </c>
      <c r="M45" s="20" t="s">
        <v>131</v>
      </c>
      <c r="N45" s="20">
        <v>0</v>
      </c>
      <c r="O45" s="20">
        <v>0</v>
      </c>
      <c r="P45" s="20">
        <v>0</v>
      </c>
      <c r="Q45" s="20">
        <v>0</v>
      </c>
    </row>
    <row r="46" spans="2:17" ht="39.75" customHeight="1" x14ac:dyDescent="0.25">
      <c r="B46" s="51" t="s">
        <v>586</v>
      </c>
      <c r="C46" s="137" t="s">
        <v>523</v>
      </c>
      <c r="D46" s="20" t="s">
        <v>529</v>
      </c>
      <c r="E46" s="21">
        <v>2022</v>
      </c>
      <c r="F46" s="21">
        <v>2022</v>
      </c>
      <c r="G46" s="28" t="s">
        <v>131</v>
      </c>
      <c r="H46" s="20">
        <v>16.044799999999999</v>
      </c>
      <c r="I46" s="20">
        <v>1.1231359999999999</v>
      </c>
      <c r="J46" s="20">
        <v>13.798527999999999</v>
      </c>
      <c r="K46" s="20">
        <v>0</v>
      </c>
      <c r="L46" s="20">
        <v>1.1231359999999999</v>
      </c>
      <c r="M46" s="20" t="s">
        <v>131</v>
      </c>
      <c r="N46" s="20">
        <v>0</v>
      </c>
      <c r="O46" s="20">
        <v>0</v>
      </c>
      <c r="P46" s="20">
        <v>0</v>
      </c>
      <c r="Q46" s="20">
        <v>0</v>
      </c>
    </row>
    <row r="47" spans="2:17" ht="75" x14ac:dyDescent="0.25">
      <c r="B47" s="49" t="s">
        <v>59</v>
      </c>
      <c r="C47" s="50" t="s">
        <v>60</v>
      </c>
      <c r="D47" s="187" t="s">
        <v>129</v>
      </c>
      <c r="E47" s="188" t="s">
        <v>131</v>
      </c>
      <c r="F47" s="188" t="s">
        <v>131</v>
      </c>
      <c r="G47" s="187" t="s">
        <v>131</v>
      </c>
      <c r="H47" s="187">
        <v>542.26390000000004</v>
      </c>
      <c r="I47" s="187">
        <v>31.059195000000003</v>
      </c>
      <c r="J47" s="187">
        <v>255.91897499999999</v>
      </c>
      <c r="K47" s="187">
        <v>220.77689600000002</v>
      </c>
      <c r="L47" s="187">
        <v>34.508834</v>
      </c>
      <c r="M47" s="187" t="s">
        <v>131</v>
      </c>
      <c r="N47" s="187">
        <v>1.7763568394002505E-15</v>
      </c>
      <c r="O47" s="187">
        <v>0</v>
      </c>
      <c r="P47" s="187">
        <v>0</v>
      </c>
      <c r="Q47" s="187">
        <v>0</v>
      </c>
    </row>
    <row r="48" spans="2:17" ht="56.25" x14ac:dyDescent="0.25">
      <c r="B48" s="51" t="s">
        <v>61</v>
      </c>
      <c r="C48" s="189" t="s">
        <v>62</v>
      </c>
      <c r="D48" s="20" t="s">
        <v>129</v>
      </c>
      <c r="E48" s="21" t="s">
        <v>131</v>
      </c>
      <c r="F48" s="21" t="s">
        <v>131</v>
      </c>
      <c r="G48" s="20" t="s">
        <v>131</v>
      </c>
      <c r="H48" s="20">
        <v>542.26390000000004</v>
      </c>
      <c r="I48" s="20">
        <v>31.059195000000003</v>
      </c>
      <c r="J48" s="20">
        <v>255.91897499999999</v>
      </c>
      <c r="K48" s="20">
        <v>220.77689600000002</v>
      </c>
      <c r="L48" s="20">
        <v>34.508834</v>
      </c>
      <c r="M48" s="20" t="s">
        <v>131</v>
      </c>
      <c r="N48" s="20">
        <v>1.7763568394002505E-15</v>
      </c>
      <c r="O48" s="20">
        <v>0</v>
      </c>
      <c r="P48" s="20">
        <v>0</v>
      </c>
      <c r="Q48" s="20">
        <v>0</v>
      </c>
    </row>
    <row r="49" spans="2:17" ht="34.5" customHeight="1" x14ac:dyDescent="0.25">
      <c r="B49" s="51" t="s">
        <v>61</v>
      </c>
      <c r="C49" s="76" t="s">
        <v>355</v>
      </c>
      <c r="D49" s="20" t="s">
        <v>357</v>
      </c>
      <c r="E49" s="21">
        <v>2019</v>
      </c>
      <c r="F49" s="21">
        <v>2020</v>
      </c>
      <c r="G49" s="20" t="s">
        <v>131</v>
      </c>
      <c r="H49" s="20">
        <v>344.96390000000002</v>
      </c>
      <c r="I49" s="20">
        <v>17.248195000000003</v>
      </c>
      <c r="J49" s="20">
        <v>86.240975000000006</v>
      </c>
      <c r="K49" s="20">
        <v>220.77689600000002</v>
      </c>
      <c r="L49" s="20">
        <v>20.697834</v>
      </c>
      <c r="M49" s="20" t="s">
        <v>131</v>
      </c>
      <c r="N49" s="20">
        <v>1.7763568394002505E-15</v>
      </c>
      <c r="O49" s="20">
        <v>0</v>
      </c>
      <c r="P49" s="20">
        <v>0</v>
      </c>
      <c r="Q49" s="20">
        <v>0</v>
      </c>
    </row>
    <row r="50" spans="2:17" ht="36" customHeight="1" x14ac:dyDescent="0.25">
      <c r="B50" s="51" t="s">
        <v>61</v>
      </c>
      <c r="C50" s="76" t="s">
        <v>356</v>
      </c>
      <c r="D50" s="20" t="s">
        <v>358</v>
      </c>
      <c r="E50" s="21">
        <v>2019</v>
      </c>
      <c r="F50" s="21">
        <v>2020</v>
      </c>
      <c r="G50" s="20" t="s">
        <v>131</v>
      </c>
      <c r="H50" s="20">
        <v>197.3</v>
      </c>
      <c r="I50" s="20">
        <v>13.811000000000002</v>
      </c>
      <c r="J50" s="20">
        <v>169.678</v>
      </c>
      <c r="K50" s="20">
        <v>0</v>
      </c>
      <c r="L50" s="20">
        <v>13.811000000000002</v>
      </c>
      <c r="M50" s="20" t="s">
        <v>131</v>
      </c>
      <c r="N50" s="20">
        <v>0</v>
      </c>
      <c r="O50" s="20">
        <v>0</v>
      </c>
      <c r="P50" s="20">
        <v>0</v>
      </c>
      <c r="Q50" s="20">
        <v>0</v>
      </c>
    </row>
    <row r="51" spans="2:17" ht="56.25" x14ac:dyDescent="0.25">
      <c r="B51" s="51" t="s">
        <v>63</v>
      </c>
      <c r="C51" s="189" t="s">
        <v>64</v>
      </c>
      <c r="D51" s="20" t="s">
        <v>129</v>
      </c>
      <c r="E51" s="21" t="s">
        <v>131</v>
      </c>
      <c r="F51" s="21" t="s">
        <v>131</v>
      </c>
      <c r="G51" s="20" t="s">
        <v>131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 t="s">
        <v>131</v>
      </c>
      <c r="N51" s="20">
        <v>0</v>
      </c>
      <c r="O51" s="20">
        <v>0</v>
      </c>
      <c r="P51" s="20">
        <v>0</v>
      </c>
      <c r="Q51" s="20">
        <v>0</v>
      </c>
    </row>
    <row r="52" spans="2:17" ht="37.5" x14ac:dyDescent="0.25">
      <c r="B52" s="49" t="s">
        <v>65</v>
      </c>
      <c r="C52" s="50" t="s">
        <v>66</v>
      </c>
      <c r="D52" s="17" t="s">
        <v>129</v>
      </c>
      <c r="E52" s="18" t="s">
        <v>131</v>
      </c>
      <c r="F52" s="18" t="s">
        <v>131</v>
      </c>
      <c r="G52" s="17" t="s">
        <v>131</v>
      </c>
      <c r="H52" s="17">
        <v>40240.36042589022</v>
      </c>
      <c r="I52" s="17">
        <v>2732.8801849454785</v>
      </c>
      <c r="J52" s="17">
        <v>22620.742379556519</v>
      </c>
      <c r="K52" s="17">
        <v>12050.401807607202</v>
      </c>
      <c r="L52" s="17">
        <v>2834.7860537810216</v>
      </c>
      <c r="M52" s="17" t="s">
        <v>131</v>
      </c>
      <c r="N52" s="17">
        <v>20993.128816819997</v>
      </c>
      <c r="O52" s="17">
        <v>8958.2343651400006</v>
      </c>
      <c r="P52" s="17">
        <v>6712.5289999999986</v>
      </c>
      <c r="Q52" s="17">
        <v>15670.763365139999</v>
      </c>
    </row>
    <row r="53" spans="2:17" ht="56.25" x14ac:dyDescent="0.25">
      <c r="B53" s="49" t="s">
        <v>67</v>
      </c>
      <c r="C53" s="50" t="s">
        <v>68</v>
      </c>
      <c r="D53" s="187" t="s">
        <v>129</v>
      </c>
      <c r="E53" s="188" t="s">
        <v>131</v>
      </c>
      <c r="F53" s="188" t="s">
        <v>131</v>
      </c>
      <c r="G53" s="187" t="s">
        <v>131</v>
      </c>
      <c r="H53" s="187">
        <v>14450.613086919999</v>
      </c>
      <c r="I53" s="187">
        <v>814.50464734599996</v>
      </c>
      <c r="J53" s="187">
        <v>4624.3671947300008</v>
      </c>
      <c r="K53" s="187">
        <v>7960.7564736287977</v>
      </c>
      <c r="L53" s="187">
        <v>1050.9847712152</v>
      </c>
      <c r="M53" s="187" t="s">
        <v>131</v>
      </c>
      <c r="N53" s="187">
        <v>8978.6385869200003</v>
      </c>
      <c r="O53" s="187">
        <v>3671.8055352400006</v>
      </c>
      <c r="P53" s="187">
        <v>1602.2800000000002</v>
      </c>
      <c r="Q53" s="17">
        <v>5274.0855352400013</v>
      </c>
    </row>
    <row r="54" spans="2:17" ht="37.5" x14ac:dyDescent="0.25">
      <c r="B54" s="51" t="s">
        <v>69</v>
      </c>
      <c r="C54" s="189" t="s">
        <v>70</v>
      </c>
      <c r="D54" s="20" t="s">
        <v>129</v>
      </c>
      <c r="E54" s="21" t="s">
        <v>131</v>
      </c>
      <c r="F54" s="21" t="s">
        <v>131</v>
      </c>
      <c r="G54" s="20" t="s">
        <v>131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 t="s">
        <v>131</v>
      </c>
      <c r="N54" s="20">
        <v>0</v>
      </c>
      <c r="O54" s="20">
        <v>0</v>
      </c>
      <c r="P54" s="20">
        <v>0</v>
      </c>
      <c r="Q54" s="20">
        <v>0</v>
      </c>
    </row>
    <row r="55" spans="2:17" ht="37.5" x14ac:dyDescent="0.25">
      <c r="B55" s="51" t="s">
        <v>71</v>
      </c>
      <c r="C55" s="189" t="s">
        <v>72</v>
      </c>
      <c r="D55" s="20" t="s">
        <v>129</v>
      </c>
      <c r="E55" s="21" t="s">
        <v>131</v>
      </c>
      <c r="F55" s="21" t="s">
        <v>131</v>
      </c>
      <c r="G55" s="20" t="s">
        <v>131</v>
      </c>
      <c r="H55" s="20">
        <v>14450.613086919999</v>
      </c>
      <c r="I55" s="20">
        <v>814.50464734599996</v>
      </c>
      <c r="J55" s="20">
        <v>4624.3671947300008</v>
      </c>
      <c r="K55" s="20">
        <v>7960.7564736287977</v>
      </c>
      <c r="L55" s="20">
        <v>1050.9847712152</v>
      </c>
      <c r="M55" s="20" t="s">
        <v>131</v>
      </c>
      <c r="N55" s="20">
        <v>8978.6385869200003</v>
      </c>
      <c r="O55" s="20">
        <v>3671.8055352400006</v>
      </c>
      <c r="P55" s="20">
        <v>1602.2800000000002</v>
      </c>
      <c r="Q55" s="20">
        <v>5274.0855352400013</v>
      </c>
    </row>
    <row r="56" spans="2:17" ht="356.25" x14ac:dyDescent="0.25">
      <c r="B56" s="51" t="s">
        <v>71</v>
      </c>
      <c r="C56" s="76" t="s">
        <v>595</v>
      </c>
      <c r="D56" s="20" t="s">
        <v>301</v>
      </c>
      <c r="E56" s="21">
        <v>2021</v>
      </c>
      <c r="F56" s="21">
        <v>2025</v>
      </c>
      <c r="G56" s="20" t="s">
        <v>131</v>
      </c>
      <c r="H56" s="20">
        <v>2779</v>
      </c>
      <c r="I56" s="20">
        <v>166.73999999999998</v>
      </c>
      <c r="J56" s="20">
        <v>1000.4399999999999</v>
      </c>
      <c r="K56" s="20">
        <v>1389.5</v>
      </c>
      <c r="L56" s="20">
        <v>222.32</v>
      </c>
      <c r="M56" s="20" t="s">
        <v>131</v>
      </c>
      <c r="N56" s="20">
        <v>2729.7350999999999</v>
      </c>
      <c r="O56" s="20">
        <v>1559.6295158999999</v>
      </c>
      <c r="P56" s="20">
        <v>616.13</v>
      </c>
      <c r="Q56" s="20">
        <v>2175.7595158999998</v>
      </c>
    </row>
    <row r="57" spans="2:17" ht="150" x14ac:dyDescent="0.25">
      <c r="B57" s="51" t="s">
        <v>71</v>
      </c>
      <c r="C57" s="76" t="s">
        <v>596</v>
      </c>
      <c r="D57" s="20" t="s">
        <v>299</v>
      </c>
      <c r="E57" s="21">
        <v>2020</v>
      </c>
      <c r="F57" s="21">
        <v>2025</v>
      </c>
      <c r="G57" s="20" t="s">
        <v>131</v>
      </c>
      <c r="H57" s="20">
        <v>3509.5459999999998</v>
      </c>
      <c r="I57" s="20">
        <v>210.57275999999999</v>
      </c>
      <c r="J57" s="20">
        <v>1263.4365599999999</v>
      </c>
      <c r="K57" s="20">
        <v>1754.7729999999999</v>
      </c>
      <c r="L57" s="20">
        <v>280.76367999999997</v>
      </c>
      <c r="M57" s="20" t="s">
        <v>131</v>
      </c>
      <c r="N57" s="20">
        <v>2778.0682999999999</v>
      </c>
      <c r="O57" s="20">
        <v>780.97337712000001</v>
      </c>
      <c r="P57" s="20">
        <v>500</v>
      </c>
      <c r="Q57" s="20">
        <v>1280.9733771199999</v>
      </c>
    </row>
    <row r="58" spans="2:17" ht="75" x14ac:dyDescent="0.25">
      <c r="B58" s="51" t="s">
        <v>71</v>
      </c>
      <c r="C58" s="76" t="s">
        <v>491</v>
      </c>
      <c r="D58" s="20" t="s">
        <v>303</v>
      </c>
      <c r="E58" s="21">
        <v>2018</v>
      </c>
      <c r="F58" s="21">
        <v>2020</v>
      </c>
      <c r="G58" s="20" t="s">
        <v>131</v>
      </c>
      <c r="H58" s="20">
        <v>2856.0345000000002</v>
      </c>
      <c r="I58" s="20">
        <v>171.36207000000002</v>
      </c>
      <c r="J58" s="20">
        <v>1028.1724200000001</v>
      </c>
      <c r="K58" s="20">
        <v>1428.0172500000001</v>
      </c>
      <c r="L58" s="20">
        <v>228.48276000000001</v>
      </c>
      <c r="M58" s="20" t="s">
        <v>131</v>
      </c>
      <c r="N58" s="20">
        <v>0</v>
      </c>
      <c r="O58" s="20">
        <v>0</v>
      </c>
      <c r="P58" s="20">
        <v>0</v>
      </c>
      <c r="Q58" s="20">
        <v>0</v>
      </c>
    </row>
    <row r="59" spans="2:17" ht="37.5" x14ac:dyDescent="0.25">
      <c r="B59" s="51" t="s">
        <v>71</v>
      </c>
      <c r="C59" s="76" t="s">
        <v>492</v>
      </c>
      <c r="D59" s="20" t="s">
        <v>298</v>
      </c>
      <c r="E59" s="21">
        <v>2020</v>
      </c>
      <c r="F59" s="21">
        <v>2020</v>
      </c>
      <c r="G59" s="20" t="s">
        <v>131</v>
      </c>
      <c r="H59" s="20">
        <v>52.818800000000003</v>
      </c>
      <c r="I59" s="20">
        <v>3.1691280000000002</v>
      </c>
      <c r="J59" s="20">
        <v>19.014768</v>
      </c>
      <c r="K59" s="20">
        <v>26.409400000000002</v>
      </c>
      <c r="L59" s="20">
        <v>4.2255039999999999</v>
      </c>
      <c r="M59" s="20" t="s">
        <v>131</v>
      </c>
      <c r="N59" s="20">
        <v>0</v>
      </c>
      <c r="O59" s="20">
        <v>0</v>
      </c>
      <c r="P59" s="20">
        <v>0</v>
      </c>
      <c r="Q59" s="20">
        <v>0</v>
      </c>
    </row>
    <row r="60" spans="2:17" ht="51.75" customHeight="1" x14ac:dyDescent="0.25">
      <c r="B60" s="51" t="s">
        <v>71</v>
      </c>
      <c r="C60" s="76" t="s">
        <v>362</v>
      </c>
      <c r="D60" s="46" t="s">
        <v>354</v>
      </c>
      <c r="E60" s="21">
        <v>2020</v>
      </c>
      <c r="F60" s="21">
        <v>2022</v>
      </c>
      <c r="G60" s="28" t="s">
        <v>131</v>
      </c>
      <c r="H60" s="20">
        <v>284.34350000000001</v>
      </c>
      <c r="I60" s="20">
        <v>14.217175000000001</v>
      </c>
      <c r="J60" s="20">
        <v>71.085875000000001</v>
      </c>
      <c r="K60" s="20">
        <v>181.97984</v>
      </c>
      <c r="L60" s="20">
        <v>17.06061</v>
      </c>
      <c r="M60" s="28" t="s">
        <v>131</v>
      </c>
      <c r="N60" s="20">
        <v>3.5527136788005009E-14</v>
      </c>
      <c r="O60" s="20">
        <v>0</v>
      </c>
      <c r="P60" s="28">
        <v>0</v>
      </c>
      <c r="Q60" s="20">
        <v>0</v>
      </c>
    </row>
    <row r="61" spans="2:17" ht="18.75" x14ac:dyDescent="0.25">
      <c r="B61" s="51" t="s">
        <v>71</v>
      </c>
      <c r="C61" s="76" t="s">
        <v>147</v>
      </c>
      <c r="D61" s="20" t="s">
        <v>229</v>
      </c>
      <c r="E61" s="21">
        <v>2021</v>
      </c>
      <c r="F61" s="21">
        <v>2022</v>
      </c>
      <c r="G61" s="28" t="s">
        <v>131</v>
      </c>
      <c r="H61" s="20">
        <v>137.16730000000001</v>
      </c>
      <c r="I61" s="20">
        <v>6.8583650000000009</v>
      </c>
      <c r="J61" s="20">
        <v>34.291825000000003</v>
      </c>
      <c r="K61" s="20">
        <v>87.787072000000009</v>
      </c>
      <c r="L61" s="20">
        <v>8.2300380000000004</v>
      </c>
      <c r="M61" s="20" t="s">
        <v>131</v>
      </c>
      <c r="N61" s="20">
        <v>0</v>
      </c>
      <c r="O61" s="20">
        <v>0</v>
      </c>
      <c r="P61" s="20">
        <v>0</v>
      </c>
      <c r="Q61" s="20">
        <v>0</v>
      </c>
    </row>
    <row r="62" spans="2:17" ht="42.75" customHeight="1" x14ac:dyDescent="0.25">
      <c r="B62" s="51" t="s">
        <v>71</v>
      </c>
      <c r="C62" s="76" t="s">
        <v>148</v>
      </c>
      <c r="D62" s="20" t="s">
        <v>230</v>
      </c>
      <c r="E62" s="21">
        <v>2020</v>
      </c>
      <c r="F62" s="21">
        <v>2020</v>
      </c>
      <c r="G62" s="20" t="s">
        <v>131</v>
      </c>
      <c r="H62" s="20">
        <v>135</v>
      </c>
      <c r="I62" s="20">
        <v>6.75</v>
      </c>
      <c r="J62" s="20">
        <v>33.75</v>
      </c>
      <c r="K62" s="20">
        <v>86.4</v>
      </c>
      <c r="L62" s="20">
        <v>8.1</v>
      </c>
      <c r="M62" s="20" t="s">
        <v>131</v>
      </c>
      <c r="N62" s="20">
        <v>0</v>
      </c>
      <c r="O62" s="20">
        <v>0</v>
      </c>
      <c r="P62" s="20">
        <v>0</v>
      </c>
      <c r="Q62" s="20">
        <v>0</v>
      </c>
    </row>
    <row r="63" spans="2:17" ht="18.75" x14ac:dyDescent="0.25">
      <c r="B63" s="51" t="s">
        <v>71</v>
      </c>
      <c r="C63" s="76" t="s">
        <v>149</v>
      </c>
      <c r="D63" s="20" t="s">
        <v>231</v>
      </c>
      <c r="E63" s="21">
        <v>2022</v>
      </c>
      <c r="F63" s="21">
        <v>2023</v>
      </c>
      <c r="G63" s="20" t="s">
        <v>131</v>
      </c>
      <c r="H63" s="20">
        <v>902.26124691999996</v>
      </c>
      <c r="I63" s="20">
        <v>45.113062346</v>
      </c>
      <c r="J63" s="20">
        <v>225.56531172999999</v>
      </c>
      <c r="K63" s="20">
        <v>577.44719802880002</v>
      </c>
      <c r="L63" s="20">
        <v>54.135674815199998</v>
      </c>
      <c r="M63" s="20" t="s">
        <v>131</v>
      </c>
      <c r="N63" s="20">
        <v>853.71134691999998</v>
      </c>
      <c r="O63" s="20">
        <v>853.71134691999998</v>
      </c>
      <c r="P63" s="20">
        <v>0</v>
      </c>
      <c r="Q63" s="20">
        <v>853.71134691999998</v>
      </c>
    </row>
    <row r="64" spans="2:17" ht="18.75" x14ac:dyDescent="0.25">
      <c r="B64" s="51" t="s">
        <v>71</v>
      </c>
      <c r="C64" s="76" t="s">
        <v>156</v>
      </c>
      <c r="D64" s="20" t="s">
        <v>234</v>
      </c>
      <c r="E64" s="21">
        <v>2022</v>
      </c>
      <c r="F64" s="21">
        <v>2025</v>
      </c>
      <c r="G64" s="20" t="s">
        <v>131</v>
      </c>
      <c r="H64" s="20">
        <v>333.56306999999998</v>
      </c>
      <c r="I64" s="20">
        <v>16.678153500000001</v>
      </c>
      <c r="J64" s="20">
        <v>83.390767499999995</v>
      </c>
      <c r="K64" s="20">
        <v>213.48036479999999</v>
      </c>
      <c r="L64" s="20">
        <v>20.0137842</v>
      </c>
      <c r="M64" s="20" t="s">
        <v>131</v>
      </c>
      <c r="N64" s="20">
        <v>317.21396999999996</v>
      </c>
      <c r="O64" s="20">
        <v>0</v>
      </c>
      <c r="P64" s="20">
        <v>0</v>
      </c>
      <c r="Q64" s="20">
        <v>0</v>
      </c>
    </row>
    <row r="65" spans="2:17" ht="18.75" x14ac:dyDescent="0.25">
      <c r="B65" s="51" t="s">
        <v>71</v>
      </c>
      <c r="C65" s="76" t="s">
        <v>157</v>
      </c>
      <c r="D65" s="20" t="s">
        <v>236</v>
      </c>
      <c r="E65" s="21">
        <v>2021</v>
      </c>
      <c r="F65" s="21">
        <v>2025</v>
      </c>
      <c r="G65" s="20" t="s">
        <v>131</v>
      </c>
      <c r="H65" s="20">
        <v>143.80000000000001</v>
      </c>
      <c r="I65" s="20">
        <v>7.1900000000000013</v>
      </c>
      <c r="J65" s="20">
        <v>35.950000000000003</v>
      </c>
      <c r="K65" s="20">
        <v>92.032000000000011</v>
      </c>
      <c r="L65" s="20">
        <v>8.6280000000000001</v>
      </c>
      <c r="M65" s="20" t="s">
        <v>131</v>
      </c>
      <c r="N65" s="20">
        <v>137.41510000000002</v>
      </c>
      <c r="O65" s="20">
        <v>0</v>
      </c>
      <c r="P65" s="20">
        <v>0</v>
      </c>
      <c r="Q65" s="20">
        <v>0</v>
      </c>
    </row>
    <row r="66" spans="2:17" ht="18.75" x14ac:dyDescent="0.25">
      <c r="B66" s="51" t="s">
        <v>71</v>
      </c>
      <c r="C66" s="76" t="s">
        <v>109</v>
      </c>
      <c r="D66" s="46" t="s">
        <v>305</v>
      </c>
      <c r="E66" s="21">
        <v>2019</v>
      </c>
      <c r="F66" s="21">
        <v>2021</v>
      </c>
      <c r="G66" s="20" t="s">
        <v>131</v>
      </c>
      <c r="H66" s="20">
        <v>240.0325</v>
      </c>
      <c r="I66" s="20">
        <v>12.001625000000001</v>
      </c>
      <c r="J66" s="20">
        <v>60.008125</v>
      </c>
      <c r="K66" s="20">
        <v>153.6208</v>
      </c>
      <c r="L66" s="20">
        <v>14.401949999999999</v>
      </c>
      <c r="M66" s="28" t="s">
        <v>131</v>
      </c>
      <c r="N66" s="20">
        <v>-7.1054273576010019E-15</v>
      </c>
      <c r="O66" s="20">
        <v>0</v>
      </c>
      <c r="P66" s="28">
        <v>0</v>
      </c>
      <c r="Q66" s="20">
        <v>0</v>
      </c>
    </row>
    <row r="67" spans="2:17" ht="18.75" x14ac:dyDescent="0.25">
      <c r="B67" s="51" t="s">
        <v>71</v>
      </c>
      <c r="C67" s="76" t="s">
        <v>538</v>
      </c>
      <c r="D67" s="46" t="s">
        <v>306</v>
      </c>
      <c r="E67" s="21">
        <v>2020</v>
      </c>
      <c r="F67" s="21">
        <v>2025</v>
      </c>
      <c r="G67" s="28" t="s">
        <v>131</v>
      </c>
      <c r="H67" s="20">
        <v>93.1</v>
      </c>
      <c r="I67" s="20">
        <v>4.6550000000000002</v>
      </c>
      <c r="J67" s="20">
        <v>23.274999999999999</v>
      </c>
      <c r="K67" s="20">
        <v>59.583999999999996</v>
      </c>
      <c r="L67" s="20">
        <v>5.5859999999999994</v>
      </c>
      <c r="M67" s="28" t="s">
        <v>131</v>
      </c>
      <c r="N67" s="20">
        <v>87.433999999999997</v>
      </c>
      <c r="O67" s="20">
        <v>0</v>
      </c>
      <c r="P67" s="28">
        <v>0</v>
      </c>
      <c r="Q67" s="20">
        <v>0</v>
      </c>
    </row>
    <row r="68" spans="2:17" ht="18.75" x14ac:dyDescent="0.25">
      <c r="B68" s="51" t="s">
        <v>71</v>
      </c>
      <c r="C68" s="76" t="s">
        <v>539</v>
      </c>
      <c r="D68" s="28" t="s">
        <v>309</v>
      </c>
      <c r="E68" s="21">
        <v>2019</v>
      </c>
      <c r="F68" s="21">
        <v>2025</v>
      </c>
      <c r="G68" s="28" t="s">
        <v>131</v>
      </c>
      <c r="H68" s="20">
        <v>94.2</v>
      </c>
      <c r="I68" s="20">
        <v>4.71</v>
      </c>
      <c r="J68" s="20">
        <v>23.55</v>
      </c>
      <c r="K68" s="20">
        <v>60.288000000000004</v>
      </c>
      <c r="L68" s="20">
        <v>5.6520000000000001</v>
      </c>
      <c r="M68" s="28" t="s">
        <v>131</v>
      </c>
      <c r="N68" s="20">
        <v>91.156300000000002</v>
      </c>
      <c r="O68" s="20">
        <v>0</v>
      </c>
      <c r="P68" s="28">
        <v>0</v>
      </c>
      <c r="Q68" s="20">
        <v>0</v>
      </c>
    </row>
    <row r="69" spans="2:17" ht="18.75" x14ac:dyDescent="0.25">
      <c r="B69" s="51" t="s">
        <v>71</v>
      </c>
      <c r="C69" s="76" t="s">
        <v>367</v>
      </c>
      <c r="D69" s="28" t="s">
        <v>433</v>
      </c>
      <c r="E69" s="21">
        <v>2021</v>
      </c>
      <c r="F69" s="21">
        <v>2021</v>
      </c>
      <c r="G69" s="20" t="s">
        <v>131</v>
      </c>
      <c r="H69" s="20">
        <v>71.048500000000004</v>
      </c>
      <c r="I69" s="20">
        <v>3.5524250000000004</v>
      </c>
      <c r="J69" s="20">
        <v>17.762125000000001</v>
      </c>
      <c r="K69" s="20">
        <v>45.471040000000002</v>
      </c>
      <c r="L69" s="20">
        <v>4.2629099999999998</v>
      </c>
      <c r="M69" s="28" t="s">
        <v>131</v>
      </c>
      <c r="N69" s="20">
        <v>0</v>
      </c>
      <c r="O69" s="20">
        <v>0</v>
      </c>
      <c r="P69" s="28">
        <v>0</v>
      </c>
      <c r="Q69" s="20">
        <v>0</v>
      </c>
    </row>
    <row r="70" spans="2:17" ht="50.25" customHeight="1" x14ac:dyDescent="0.25">
      <c r="B70" s="51" t="s">
        <v>71</v>
      </c>
      <c r="C70" s="76" t="s">
        <v>443</v>
      </c>
      <c r="D70" s="20" t="s">
        <v>240</v>
      </c>
      <c r="E70" s="21">
        <v>2020</v>
      </c>
      <c r="F70" s="21">
        <v>2021</v>
      </c>
      <c r="G70" s="20" t="s">
        <v>131</v>
      </c>
      <c r="H70" s="20">
        <v>98.774699999999996</v>
      </c>
      <c r="I70" s="20">
        <v>4.9387350000000003</v>
      </c>
      <c r="J70" s="20">
        <v>24.693674999999999</v>
      </c>
      <c r="K70" s="20">
        <v>63.215807999999996</v>
      </c>
      <c r="L70" s="20">
        <v>5.9264819999999991</v>
      </c>
      <c r="M70" s="20" t="s">
        <v>131</v>
      </c>
      <c r="N70" s="20">
        <v>-7.1054273576010019E-15</v>
      </c>
      <c r="O70" s="20">
        <v>0</v>
      </c>
      <c r="P70" s="20">
        <v>0</v>
      </c>
      <c r="Q70" s="20">
        <v>0</v>
      </c>
    </row>
    <row r="71" spans="2:17" ht="50.25" customHeight="1" x14ac:dyDescent="0.25">
      <c r="B71" s="51" t="s">
        <v>71</v>
      </c>
      <c r="C71" s="76" t="s">
        <v>111</v>
      </c>
      <c r="D71" s="46" t="s">
        <v>207</v>
      </c>
      <c r="E71" s="21">
        <v>2019</v>
      </c>
      <c r="F71" s="21">
        <v>2022</v>
      </c>
      <c r="G71" s="28" t="s">
        <v>131</v>
      </c>
      <c r="H71" s="20">
        <v>713.6176999999999</v>
      </c>
      <c r="I71" s="20">
        <v>35.680884999999996</v>
      </c>
      <c r="J71" s="20">
        <v>178.40442499999997</v>
      </c>
      <c r="K71" s="20">
        <v>456.71532799999994</v>
      </c>
      <c r="L71" s="20">
        <v>42.817061999999993</v>
      </c>
      <c r="M71" s="28" t="s">
        <v>131</v>
      </c>
      <c r="N71" s="20">
        <v>-8.5265128291212022E-14</v>
      </c>
      <c r="O71" s="28">
        <v>0</v>
      </c>
      <c r="P71" s="28">
        <v>0</v>
      </c>
      <c r="Q71" s="20">
        <v>0</v>
      </c>
    </row>
    <row r="72" spans="2:17" ht="50.25" customHeight="1" x14ac:dyDescent="0.25">
      <c r="B72" s="51" t="s">
        <v>71</v>
      </c>
      <c r="C72" s="76" t="s">
        <v>166</v>
      </c>
      <c r="D72" s="20" t="s">
        <v>307</v>
      </c>
      <c r="E72" s="21">
        <v>2018</v>
      </c>
      <c r="F72" s="21">
        <v>2025</v>
      </c>
      <c r="G72" s="28" t="s">
        <v>131</v>
      </c>
      <c r="H72" s="20">
        <v>648.9</v>
      </c>
      <c r="I72" s="20">
        <v>32.445</v>
      </c>
      <c r="J72" s="20">
        <v>162.22499999999999</v>
      </c>
      <c r="K72" s="20">
        <v>415.29599999999999</v>
      </c>
      <c r="L72" s="20">
        <v>38.933999999999997</v>
      </c>
      <c r="M72" s="28" t="s">
        <v>131</v>
      </c>
      <c r="N72" s="20">
        <v>635.06909999999993</v>
      </c>
      <c r="O72" s="28">
        <v>0</v>
      </c>
      <c r="P72" s="28">
        <v>0</v>
      </c>
      <c r="Q72" s="20">
        <v>0</v>
      </c>
    </row>
    <row r="73" spans="2:17" ht="57" customHeight="1" x14ac:dyDescent="0.25">
      <c r="B73" s="51" t="s">
        <v>71</v>
      </c>
      <c r="C73" s="76" t="s">
        <v>169</v>
      </c>
      <c r="D73" s="28" t="s">
        <v>211</v>
      </c>
      <c r="E73" s="21">
        <v>2021</v>
      </c>
      <c r="F73" s="21">
        <v>2025</v>
      </c>
      <c r="G73" s="28" t="s">
        <v>131</v>
      </c>
      <c r="H73" s="20">
        <v>648.4</v>
      </c>
      <c r="I73" s="20">
        <v>32.42</v>
      </c>
      <c r="J73" s="20">
        <v>162.1</v>
      </c>
      <c r="K73" s="20">
        <v>414.976</v>
      </c>
      <c r="L73" s="20">
        <v>38.903999999999996</v>
      </c>
      <c r="M73" s="28" t="s">
        <v>131</v>
      </c>
      <c r="N73" s="20">
        <v>642.78570000000002</v>
      </c>
      <c r="O73" s="28">
        <v>0.14162530000000001</v>
      </c>
      <c r="P73" s="28">
        <v>257.45</v>
      </c>
      <c r="Q73" s="20">
        <v>257.59162529999998</v>
      </c>
    </row>
    <row r="74" spans="2:17" ht="31.5" customHeight="1" x14ac:dyDescent="0.25">
      <c r="B74" s="51" t="s">
        <v>71</v>
      </c>
      <c r="C74" s="76" t="s">
        <v>139</v>
      </c>
      <c r="D74" s="20" t="s">
        <v>224</v>
      </c>
      <c r="E74" s="21">
        <v>2023</v>
      </c>
      <c r="F74" s="21">
        <v>2023</v>
      </c>
      <c r="G74" s="20" t="s">
        <v>131</v>
      </c>
      <c r="H74" s="20">
        <v>115.63031425999999</v>
      </c>
      <c r="I74" s="20">
        <v>5.7815157130000001</v>
      </c>
      <c r="J74" s="20">
        <v>28.907578564999998</v>
      </c>
      <c r="K74" s="20">
        <v>74.003401126399993</v>
      </c>
      <c r="L74" s="20">
        <v>6.9378188555999989</v>
      </c>
      <c r="M74" s="20" t="s">
        <v>131</v>
      </c>
      <c r="N74" s="20">
        <v>115.63031425999999</v>
      </c>
      <c r="O74" s="20">
        <v>115.63031425999999</v>
      </c>
      <c r="P74" s="20">
        <v>0</v>
      </c>
      <c r="Q74" s="20">
        <v>115.63031425999999</v>
      </c>
    </row>
    <row r="75" spans="2:17" ht="41.25" customHeight="1" x14ac:dyDescent="0.25">
      <c r="B75" s="51" t="s">
        <v>71</v>
      </c>
      <c r="C75" s="76" t="s">
        <v>140</v>
      </c>
      <c r="D75" s="20" t="s">
        <v>225</v>
      </c>
      <c r="E75" s="21">
        <v>2023</v>
      </c>
      <c r="F75" s="21">
        <v>2023</v>
      </c>
      <c r="G75" s="20" t="s">
        <v>131</v>
      </c>
      <c r="H75" s="20">
        <v>77.246202050000008</v>
      </c>
      <c r="I75" s="20">
        <v>3.8623101025000004</v>
      </c>
      <c r="J75" s="20">
        <v>19.311550512500002</v>
      </c>
      <c r="K75" s="20">
        <v>49.437569312000008</v>
      </c>
      <c r="L75" s="20">
        <v>4.6347721230000003</v>
      </c>
      <c r="M75" s="20" t="s">
        <v>131</v>
      </c>
      <c r="N75" s="20">
        <v>77.246202050000008</v>
      </c>
      <c r="O75" s="20">
        <v>77.246202050000008</v>
      </c>
      <c r="P75" s="20">
        <v>0</v>
      </c>
      <c r="Q75" s="20">
        <v>77.246202050000008</v>
      </c>
    </row>
    <row r="76" spans="2:17" ht="35.25" customHeight="1" x14ac:dyDescent="0.25">
      <c r="B76" s="51" t="s">
        <v>71</v>
      </c>
      <c r="C76" s="76" t="s">
        <v>141</v>
      </c>
      <c r="D76" s="20" t="s">
        <v>226</v>
      </c>
      <c r="E76" s="21">
        <v>2023</v>
      </c>
      <c r="F76" s="21">
        <v>2023</v>
      </c>
      <c r="G76" s="20" t="s">
        <v>131</v>
      </c>
      <c r="H76" s="20">
        <v>73.427281399999998</v>
      </c>
      <c r="I76" s="20">
        <v>3.6713640700000001</v>
      </c>
      <c r="J76" s="20">
        <v>18.35682035</v>
      </c>
      <c r="K76" s="20">
        <v>46.993460096</v>
      </c>
      <c r="L76" s="20">
        <v>4.4056368839999998</v>
      </c>
      <c r="M76" s="20" t="s">
        <v>131</v>
      </c>
      <c r="N76" s="20">
        <v>73.427281399999998</v>
      </c>
      <c r="O76" s="20">
        <v>73.427281399999998</v>
      </c>
      <c r="P76" s="20">
        <v>0</v>
      </c>
      <c r="Q76" s="20">
        <v>73.427281399999998</v>
      </c>
    </row>
    <row r="77" spans="2:17" ht="57.75" customHeight="1" x14ac:dyDescent="0.25">
      <c r="B77" s="51" t="s">
        <v>71</v>
      </c>
      <c r="C77" s="76" t="s">
        <v>599</v>
      </c>
      <c r="D77" s="20" t="s">
        <v>528</v>
      </c>
      <c r="E77" s="21">
        <v>2022</v>
      </c>
      <c r="F77" s="21">
        <v>2022</v>
      </c>
      <c r="G77" s="28" t="s">
        <v>131</v>
      </c>
      <c r="H77" s="20">
        <v>2.5630999999999999</v>
      </c>
      <c r="I77" s="20">
        <v>0.12815499999999999</v>
      </c>
      <c r="J77" s="20">
        <v>0.64077499999999998</v>
      </c>
      <c r="K77" s="20">
        <v>1.6403840000000001</v>
      </c>
      <c r="L77" s="20">
        <v>0.15378599999999998</v>
      </c>
      <c r="M77" s="20" t="s">
        <v>131</v>
      </c>
      <c r="N77" s="20">
        <v>0</v>
      </c>
      <c r="O77" s="20">
        <v>0</v>
      </c>
      <c r="P77" s="20">
        <v>0</v>
      </c>
      <c r="Q77" s="20">
        <v>0</v>
      </c>
    </row>
    <row r="78" spans="2:17" ht="57.75" customHeight="1" x14ac:dyDescent="0.25">
      <c r="B78" s="51" t="s">
        <v>71</v>
      </c>
      <c r="C78" s="76" t="s">
        <v>558</v>
      </c>
      <c r="D78" s="20" t="s">
        <v>559</v>
      </c>
      <c r="E78" s="21">
        <v>2022</v>
      </c>
      <c r="F78" s="21">
        <v>2022</v>
      </c>
      <c r="G78" s="28" t="s">
        <v>131</v>
      </c>
      <c r="H78" s="20">
        <v>0.39250000000000002</v>
      </c>
      <c r="I78" s="20">
        <v>1.9625000000000004E-2</v>
      </c>
      <c r="J78" s="20">
        <v>9.8125000000000004E-2</v>
      </c>
      <c r="K78" s="20">
        <v>0.25120000000000003</v>
      </c>
      <c r="L78" s="20">
        <v>2.3550000000000001E-2</v>
      </c>
      <c r="M78" s="20" t="s">
        <v>131</v>
      </c>
      <c r="N78" s="20">
        <v>0</v>
      </c>
      <c r="O78" s="20">
        <v>0</v>
      </c>
      <c r="P78" s="20">
        <v>0</v>
      </c>
      <c r="Q78" s="20">
        <v>0</v>
      </c>
    </row>
    <row r="79" spans="2:17" ht="71.25" customHeight="1" x14ac:dyDescent="0.25">
      <c r="B79" s="51" t="s">
        <v>71</v>
      </c>
      <c r="C79" s="76" t="s">
        <v>649</v>
      </c>
      <c r="D79" s="20" t="s">
        <v>640</v>
      </c>
      <c r="E79" s="21">
        <v>2023</v>
      </c>
      <c r="F79" s="21">
        <v>2024</v>
      </c>
      <c r="G79" s="28" t="s">
        <v>131</v>
      </c>
      <c r="H79" s="20">
        <v>334.02</v>
      </c>
      <c r="I79" s="20">
        <v>16.701000000000001</v>
      </c>
      <c r="J79" s="20">
        <v>83.504999999999995</v>
      </c>
      <c r="K79" s="20">
        <v>213.77279999999999</v>
      </c>
      <c r="L79" s="20">
        <v>20.0412</v>
      </c>
      <c r="M79" s="28" t="s">
        <v>131</v>
      </c>
      <c r="N79" s="20">
        <v>334.02</v>
      </c>
      <c r="O79" s="20">
        <v>145</v>
      </c>
      <c r="P79" s="20">
        <v>189.02</v>
      </c>
      <c r="Q79" s="20">
        <v>334.02</v>
      </c>
    </row>
    <row r="80" spans="2:17" ht="18.75" x14ac:dyDescent="0.3">
      <c r="B80" s="51" t="s">
        <v>71</v>
      </c>
      <c r="C80" s="190" t="s">
        <v>645</v>
      </c>
      <c r="D80" s="46" t="s">
        <v>643</v>
      </c>
      <c r="E80" s="21">
        <v>2023</v>
      </c>
      <c r="F80" s="21">
        <v>2024</v>
      </c>
      <c r="G80" s="28" t="s">
        <v>131</v>
      </c>
      <c r="H80" s="20">
        <v>47.120798290000003</v>
      </c>
      <c r="I80" s="20">
        <v>2.3560399145000002</v>
      </c>
      <c r="J80" s="20">
        <v>11.780199572500001</v>
      </c>
      <c r="K80" s="20">
        <v>30.157310905600003</v>
      </c>
      <c r="L80" s="20">
        <v>2.8272478973999999</v>
      </c>
      <c r="M80" s="28" t="s">
        <v>131</v>
      </c>
      <c r="N80" s="20">
        <v>47.120798290000003</v>
      </c>
      <c r="O80" s="20">
        <v>7.4407982900000036</v>
      </c>
      <c r="P80" s="20">
        <v>39.68</v>
      </c>
      <c r="Q80" s="20">
        <v>47.120798290000003</v>
      </c>
    </row>
    <row r="81" spans="2:17" ht="18.75" x14ac:dyDescent="0.3">
      <c r="B81" s="51" t="s">
        <v>71</v>
      </c>
      <c r="C81" s="190" t="s">
        <v>642</v>
      </c>
      <c r="D81" s="46" t="s">
        <v>644</v>
      </c>
      <c r="E81" s="21">
        <v>2023</v>
      </c>
      <c r="F81" s="21">
        <v>2023</v>
      </c>
      <c r="G81" s="28" t="s">
        <v>131</v>
      </c>
      <c r="H81" s="20">
        <v>58.605073999999995</v>
      </c>
      <c r="I81" s="20">
        <v>2.9302536999999997</v>
      </c>
      <c r="J81" s="20">
        <v>14.651268499999999</v>
      </c>
      <c r="K81" s="20">
        <v>37.507247360000001</v>
      </c>
      <c r="L81" s="20">
        <v>3.5163044399999994</v>
      </c>
      <c r="M81" s="28" t="s">
        <v>131</v>
      </c>
      <c r="N81" s="20">
        <v>58.605073999999995</v>
      </c>
      <c r="O81" s="20">
        <v>58.605073999999995</v>
      </c>
      <c r="P81" s="20">
        <v>0</v>
      </c>
      <c r="Q81" s="20">
        <v>58.605073999999995</v>
      </c>
    </row>
    <row r="82" spans="2:17" ht="43.5" customHeight="1" x14ac:dyDescent="0.25">
      <c r="B82" s="51" t="s">
        <v>71</v>
      </c>
      <c r="C82" s="76" t="s">
        <v>167</v>
      </c>
      <c r="D82" s="28" t="s">
        <v>209</v>
      </c>
      <c r="E82" s="21" t="s">
        <v>131</v>
      </c>
      <c r="F82" s="21" t="s">
        <v>131</v>
      </c>
      <c r="G82" s="28" t="s">
        <v>131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8" t="s">
        <v>131</v>
      </c>
      <c r="N82" s="20">
        <v>0</v>
      </c>
      <c r="O82" s="28">
        <v>0</v>
      </c>
      <c r="P82" s="28">
        <v>0</v>
      </c>
      <c r="Q82" s="20">
        <v>0</v>
      </c>
    </row>
    <row r="83" spans="2:17" ht="57.75" customHeight="1" x14ac:dyDescent="0.25">
      <c r="B83" s="51" t="s">
        <v>71</v>
      </c>
      <c r="C83" s="76" t="s">
        <v>159</v>
      </c>
      <c r="D83" s="20" t="s">
        <v>353</v>
      </c>
      <c r="E83" s="21" t="s">
        <v>131</v>
      </c>
      <c r="F83" s="21" t="s">
        <v>131</v>
      </c>
      <c r="G83" s="20" t="s">
        <v>131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 t="s">
        <v>131</v>
      </c>
      <c r="N83" s="20">
        <v>0</v>
      </c>
      <c r="O83" s="20">
        <v>0</v>
      </c>
      <c r="P83" s="20">
        <v>0</v>
      </c>
      <c r="Q83" s="20">
        <v>0</v>
      </c>
    </row>
    <row r="84" spans="2:17" ht="57.75" customHeight="1" x14ac:dyDescent="0.25">
      <c r="B84" s="51" t="s">
        <v>71</v>
      </c>
      <c r="C84" s="76" t="s">
        <v>152</v>
      </c>
      <c r="D84" s="20" t="s">
        <v>187</v>
      </c>
      <c r="E84" s="21" t="s">
        <v>131</v>
      </c>
      <c r="F84" s="21" t="s">
        <v>131</v>
      </c>
      <c r="G84" s="20" t="s">
        <v>131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 t="s">
        <v>131</v>
      </c>
      <c r="N84" s="20">
        <v>0</v>
      </c>
      <c r="O84" s="20">
        <v>0</v>
      </c>
      <c r="P84" s="20">
        <v>0</v>
      </c>
      <c r="Q84" s="20">
        <v>0</v>
      </c>
    </row>
    <row r="85" spans="2:17" ht="62.25" customHeight="1" x14ac:dyDescent="0.25">
      <c r="B85" s="51" t="s">
        <v>71</v>
      </c>
      <c r="C85" s="76" t="s">
        <v>490</v>
      </c>
      <c r="D85" s="20" t="s">
        <v>220</v>
      </c>
      <c r="E85" s="21" t="s">
        <v>131</v>
      </c>
      <c r="F85" s="21" t="s">
        <v>131</v>
      </c>
      <c r="G85" s="20" t="s">
        <v>131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 t="s">
        <v>131</v>
      </c>
      <c r="N85" s="20">
        <v>0</v>
      </c>
      <c r="O85" s="20">
        <v>0</v>
      </c>
      <c r="P85" s="20">
        <v>0</v>
      </c>
      <c r="Q85" s="20">
        <v>0</v>
      </c>
    </row>
    <row r="86" spans="2:17" ht="29.25" customHeight="1" x14ac:dyDescent="0.25">
      <c r="B86" s="51" t="s">
        <v>71</v>
      </c>
      <c r="C86" s="76" t="s">
        <v>142</v>
      </c>
      <c r="D86" s="20" t="s">
        <v>221</v>
      </c>
      <c r="E86" s="21" t="s">
        <v>131</v>
      </c>
      <c r="F86" s="21" t="s">
        <v>131</v>
      </c>
      <c r="G86" s="20" t="s">
        <v>131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 t="s">
        <v>131</v>
      </c>
      <c r="N86" s="20">
        <v>0</v>
      </c>
      <c r="O86" s="20">
        <v>0</v>
      </c>
      <c r="P86" s="20">
        <v>0</v>
      </c>
      <c r="Q86" s="20">
        <v>0</v>
      </c>
    </row>
    <row r="87" spans="2:17" ht="39.75" customHeight="1" x14ac:dyDescent="0.25">
      <c r="B87" s="51" t="s">
        <v>71</v>
      </c>
      <c r="C87" s="76" t="s">
        <v>155</v>
      </c>
      <c r="D87" s="20" t="s">
        <v>222</v>
      </c>
      <c r="E87" s="21" t="s">
        <v>131</v>
      </c>
      <c r="F87" s="21" t="s">
        <v>131</v>
      </c>
      <c r="G87" s="20" t="s">
        <v>131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 t="s">
        <v>131</v>
      </c>
      <c r="N87" s="20">
        <v>0</v>
      </c>
      <c r="O87" s="20">
        <v>0</v>
      </c>
      <c r="P87" s="20">
        <v>0</v>
      </c>
      <c r="Q87" s="20">
        <v>0</v>
      </c>
    </row>
    <row r="88" spans="2:17" ht="27.75" customHeight="1" x14ac:dyDescent="0.25">
      <c r="B88" s="51" t="s">
        <v>71</v>
      </c>
      <c r="C88" s="76" t="s">
        <v>163</v>
      </c>
      <c r="D88" s="20" t="s">
        <v>304</v>
      </c>
      <c r="E88" s="21" t="s">
        <v>131</v>
      </c>
      <c r="F88" s="21" t="s">
        <v>131</v>
      </c>
      <c r="G88" s="28" t="s">
        <v>131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8" t="s">
        <v>131</v>
      </c>
      <c r="N88" s="20">
        <v>0</v>
      </c>
      <c r="O88" s="20">
        <v>0</v>
      </c>
      <c r="P88" s="28">
        <v>0</v>
      </c>
      <c r="Q88" s="20">
        <v>0</v>
      </c>
    </row>
    <row r="89" spans="2:17" ht="29.25" customHeight="1" x14ac:dyDescent="0.25">
      <c r="B89" s="51" t="s">
        <v>71</v>
      </c>
      <c r="C89" s="76" t="s">
        <v>164</v>
      </c>
      <c r="D89" s="46" t="s">
        <v>206</v>
      </c>
      <c r="E89" s="21" t="s">
        <v>131</v>
      </c>
      <c r="F89" s="21" t="s">
        <v>131</v>
      </c>
      <c r="G89" s="28" t="s">
        <v>131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8" t="s">
        <v>131</v>
      </c>
      <c r="N89" s="20">
        <v>0</v>
      </c>
      <c r="O89" s="20">
        <v>0</v>
      </c>
      <c r="P89" s="28">
        <v>0</v>
      </c>
      <c r="Q89" s="20">
        <v>0</v>
      </c>
    </row>
    <row r="90" spans="2:17" ht="32.25" customHeight="1" x14ac:dyDescent="0.25">
      <c r="B90" s="51" t="s">
        <v>71</v>
      </c>
      <c r="C90" s="76" t="s">
        <v>138</v>
      </c>
      <c r="D90" s="20" t="s">
        <v>223</v>
      </c>
      <c r="E90" s="21" t="s">
        <v>131</v>
      </c>
      <c r="F90" s="21" t="s">
        <v>131</v>
      </c>
      <c r="G90" s="20" t="s">
        <v>131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 t="s">
        <v>131</v>
      </c>
      <c r="N90" s="20">
        <v>0</v>
      </c>
      <c r="O90" s="20">
        <v>0</v>
      </c>
      <c r="P90" s="20">
        <v>0</v>
      </c>
      <c r="Q90" s="20">
        <v>0</v>
      </c>
    </row>
    <row r="91" spans="2:17" ht="31.5" customHeight="1" x14ac:dyDescent="0.25">
      <c r="B91" s="51" t="s">
        <v>71</v>
      </c>
      <c r="C91" s="76" t="s">
        <v>144</v>
      </c>
      <c r="D91" s="20" t="s">
        <v>227</v>
      </c>
      <c r="E91" s="21" t="s">
        <v>131</v>
      </c>
      <c r="F91" s="21" t="s">
        <v>131</v>
      </c>
      <c r="G91" s="20" t="s">
        <v>131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 t="s">
        <v>131</v>
      </c>
      <c r="N91" s="20">
        <v>0</v>
      </c>
      <c r="O91" s="20">
        <v>0</v>
      </c>
      <c r="P91" s="20">
        <v>0</v>
      </c>
      <c r="Q91" s="20">
        <v>0</v>
      </c>
    </row>
    <row r="92" spans="2:17" ht="27" customHeight="1" x14ac:dyDescent="0.25">
      <c r="B92" s="51" t="s">
        <v>71</v>
      </c>
      <c r="C92" s="76" t="s">
        <v>145</v>
      </c>
      <c r="D92" s="20" t="s">
        <v>228</v>
      </c>
      <c r="E92" s="21" t="s">
        <v>131</v>
      </c>
      <c r="F92" s="21" t="s">
        <v>131</v>
      </c>
      <c r="G92" s="20" t="s">
        <v>131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 t="s">
        <v>131</v>
      </c>
      <c r="N92" s="20">
        <v>0</v>
      </c>
      <c r="O92" s="20">
        <v>0</v>
      </c>
      <c r="P92" s="20">
        <v>0</v>
      </c>
      <c r="Q92" s="20">
        <v>0</v>
      </c>
    </row>
    <row r="93" spans="2:17" ht="28.5" customHeight="1" x14ac:dyDescent="0.25">
      <c r="B93" s="51" t="s">
        <v>71</v>
      </c>
      <c r="C93" s="76" t="s">
        <v>150</v>
      </c>
      <c r="D93" s="20" t="s">
        <v>232</v>
      </c>
      <c r="E93" s="21" t="s">
        <v>131</v>
      </c>
      <c r="F93" s="21" t="s">
        <v>131</v>
      </c>
      <c r="G93" s="20" t="s">
        <v>131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 t="s">
        <v>131</v>
      </c>
      <c r="N93" s="20">
        <v>0</v>
      </c>
      <c r="O93" s="20">
        <v>0</v>
      </c>
      <c r="P93" s="20">
        <v>0</v>
      </c>
      <c r="Q93" s="20">
        <v>0</v>
      </c>
    </row>
    <row r="94" spans="2:17" ht="30" customHeight="1" x14ac:dyDescent="0.25">
      <c r="B94" s="51" t="s">
        <v>71</v>
      </c>
      <c r="C94" s="76" t="s">
        <v>151</v>
      </c>
      <c r="D94" s="20" t="s">
        <v>186</v>
      </c>
      <c r="E94" s="21" t="s">
        <v>131</v>
      </c>
      <c r="F94" s="21" t="s">
        <v>131</v>
      </c>
      <c r="G94" s="20" t="s">
        <v>131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 t="s">
        <v>131</v>
      </c>
      <c r="N94" s="20">
        <v>0</v>
      </c>
      <c r="O94" s="20">
        <v>0</v>
      </c>
      <c r="P94" s="20">
        <v>0</v>
      </c>
      <c r="Q94" s="20">
        <v>0</v>
      </c>
    </row>
    <row r="95" spans="2:17" ht="25.5" customHeight="1" x14ac:dyDescent="0.25">
      <c r="B95" s="51" t="s">
        <v>71</v>
      </c>
      <c r="C95" s="76" t="s">
        <v>153</v>
      </c>
      <c r="D95" s="20" t="s">
        <v>188</v>
      </c>
      <c r="E95" s="21" t="s">
        <v>131</v>
      </c>
      <c r="F95" s="21" t="s">
        <v>131</v>
      </c>
      <c r="G95" s="20" t="s">
        <v>131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 t="s">
        <v>131</v>
      </c>
      <c r="N95" s="20">
        <v>0</v>
      </c>
      <c r="O95" s="20">
        <v>0</v>
      </c>
      <c r="P95" s="20">
        <v>0</v>
      </c>
      <c r="Q95" s="20">
        <v>0</v>
      </c>
    </row>
    <row r="96" spans="2:17" ht="30" customHeight="1" x14ac:dyDescent="0.25">
      <c r="B96" s="51" t="s">
        <v>71</v>
      </c>
      <c r="C96" s="76" t="s">
        <v>189</v>
      </c>
      <c r="D96" s="20" t="s">
        <v>233</v>
      </c>
      <c r="E96" s="21" t="s">
        <v>131</v>
      </c>
      <c r="F96" s="21" t="s">
        <v>131</v>
      </c>
      <c r="G96" s="20" t="s">
        <v>131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 t="s">
        <v>131</v>
      </c>
      <c r="N96" s="20">
        <v>0</v>
      </c>
      <c r="O96" s="20">
        <v>0</v>
      </c>
      <c r="P96" s="20">
        <v>0</v>
      </c>
      <c r="Q96" s="20">
        <v>0</v>
      </c>
    </row>
    <row r="97" spans="2:17" ht="28.5" customHeight="1" x14ac:dyDescent="0.25">
      <c r="B97" s="51" t="s">
        <v>71</v>
      </c>
      <c r="C97" s="76" t="s">
        <v>110</v>
      </c>
      <c r="D97" s="20" t="s">
        <v>235</v>
      </c>
      <c r="E97" s="21" t="s">
        <v>131</v>
      </c>
      <c r="F97" s="21" t="s">
        <v>131</v>
      </c>
      <c r="G97" s="20" t="s">
        <v>131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 t="s">
        <v>131</v>
      </c>
      <c r="N97" s="20">
        <v>0</v>
      </c>
      <c r="O97" s="20">
        <v>0</v>
      </c>
      <c r="P97" s="20">
        <v>0</v>
      </c>
      <c r="Q97" s="20">
        <v>0</v>
      </c>
    </row>
    <row r="98" spans="2:17" ht="27" customHeight="1" x14ac:dyDescent="0.25">
      <c r="B98" s="51" t="s">
        <v>71</v>
      </c>
      <c r="C98" s="76" t="s">
        <v>190</v>
      </c>
      <c r="D98" s="20" t="s">
        <v>237</v>
      </c>
      <c r="E98" s="21" t="s">
        <v>131</v>
      </c>
      <c r="F98" s="21" t="s">
        <v>131</v>
      </c>
      <c r="G98" s="20" t="s">
        <v>131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 t="s">
        <v>131</v>
      </c>
      <c r="N98" s="20">
        <v>0</v>
      </c>
      <c r="O98" s="20">
        <v>0</v>
      </c>
      <c r="P98" s="20">
        <v>0</v>
      </c>
      <c r="Q98" s="20">
        <v>0</v>
      </c>
    </row>
    <row r="99" spans="2:17" ht="27" customHeight="1" x14ac:dyDescent="0.25">
      <c r="B99" s="51" t="s">
        <v>71</v>
      </c>
      <c r="C99" s="76" t="s">
        <v>137</v>
      </c>
      <c r="D99" s="20" t="s">
        <v>238</v>
      </c>
      <c r="E99" s="21" t="s">
        <v>131</v>
      </c>
      <c r="F99" s="21" t="s">
        <v>131</v>
      </c>
      <c r="G99" s="20" t="s">
        <v>131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 t="s">
        <v>131</v>
      </c>
      <c r="N99" s="20">
        <v>0</v>
      </c>
      <c r="O99" s="20">
        <v>0</v>
      </c>
      <c r="P99" s="20">
        <v>0</v>
      </c>
      <c r="Q99" s="20">
        <v>0</v>
      </c>
    </row>
    <row r="100" spans="2:17" ht="26.25" customHeight="1" x14ac:dyDescent="0.25">
      <c r="B100" s="51" t="s">
        <v>71</v>
      </c>
      <c r="C100" s="76" t="s">
        <v>143</v>
      </c>
      <c r="D100" s="20" t="s">
        <v>239</v>
      </c>
      <c r="E100" s="21" t="s">
        <v>131</v>
      </c>
      <c r="F100" s="21" t="s">
        <v>131</v>
      </c>
      <c r="G100" s="20" t="s">
        <v>131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 t="s">
        <v>131</v>
      </c>
      <c r="N100" s="20">
        <v>0</v>
      </c>
      <c r="O100" s="20">
        <v>0</v>
      </c>
      <c r="P100" s="20">
        <v>0</v>
      </c>
      <c r="Q100" s="20">
        <v>0</v>
      </c>
    </row>
    <row r="101" spans="2:17" ht="29.25" customHeight="1" x14ac:dyDescent="0.25">
      <c r="B101" s="51" t="s">
        <v>71</v>
      </c>
      <c r="C101" s="76" t="s">
        <v>162</v>
      </c>
      <c r="D101" s="28" t="s">
        <v>300</v>
      </c>
      <c r="E101" s="21" t="s">
        <v>131</v>
      </c>
      <c r="F101" s="21" t="s">
        <v>131</v>
      </c>
      <c r="G101" s="28" t="s">
        <v>131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8" t="s">
        <v>131</v>
      </c>
      <c r="N101" s="20">
        <v>0</v>
      </c>
      <c r="O101" s="20">
        <v>0</v>
      </c>
      <c r="P101" s="28">
        <v>0</v>
      </c>
      <c r="Q101" s="20">
        <v>0</v>
      </c>
    </row>
    <row r="102" spans="2:17" ht="31.5" customHeight="1" x14ac:dyDescent="0.25">
      <c r="B102" s="51" t="s">
        <v>71</v>
      </c>
      <c r="C102" s="76" t="s">
        <v>165</v>
      </c>
      <c r="D102" s="28" t="s">
        <v>208</v>
      </c>
      <c r="E102" s="21" t="s">
        <v>131</v>
      </c>
      <c r="F102" s="21" t="s">
        <v>131</v>
      </c>
      <c r="G102" s="28" t="s">
        <v>131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8" t="s">
        <v>131</v>
      </c>
      <c r="N102" s="20">
        <v>0</v>
      </c>
      <c r="O102" s="20">
        <v>0</v>
      </c>
      <c r="P102" s="28">
        <v>0</v>
      </c>
      <c r="Q102" s="20">
        <v>0</v>
      </c>
    </row>
    <row r="103" spans="2:17" ht="31.5" customHeight="1" x14ac:dyDescent="0.25">
      <c r="B103" s="51" t="s">
        <v>71</v>
      </c>
      <c r="C103" s="76" t="s">
        <v>168</v>
      </c>
      <c r="D103" s="28" t="s">
        <v>308</v>
      </c>
      <c r="E103" s="21" t="s">
        <v>131</v>
      </c>
      <c r="F103" s="21" t="s">
        <v>131</v>
      </c>
      <c r="G103" s="28" t="s">
        <v>131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8" t="s">
        <v>131</v>
      </c>
      <c r="N103" s="20">
        <v>0</v>
      </c>
      <c r="O103" s="20">
        <v>0</v>
      </c>
      <c r="P103" s="28">
        <v>0</v>
      </c>
      <c r="Q103" s="20">
        <v>0</v>
      </c>
    </row>
    <row r="104" spans="2:17" ht="30.75" customHeight="1" x14ac:dyDescent="0.25">
      <c r="B104" s="51" t="s">
        <v>71</v>
      </c>
      <c r="C104" s="76" t="s">
        <v>170</v>
      </c>
      <c r="D104" s="28" t="s">
        <v>212</v>
      </c>
      <c r="E104" s="21" t="s">
        <v>131</v>
      </c>
      <c r="F104" s="21" t="s">
        <v>131</v>
      </c>
      <c r="G104" s="28" t="s">
        <v>131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8" t="s">
        <v>131</v>
      </c>
      <c r="N104" s="20">
        <v>0</v>
      </c>
      <c r="O104" s="20">
        <v>0</v>
      </c>
      <c r="P104" s="28">
        <v>0</v>
      </c>
      <c r="Q104" s="20">
        <v>0</v>
      </c>
    </row>
    <row r="105" spans="2:17" ht="51.75" customHeight="1" x14ac:dyDescent="0.25">
      <c r="B105" s="51" t="s">
        <v>71</v>
      </c>
      <c r="C105" s="76" t="s">
        <v>198</v>
      </c>
      <c r="D105" s="20" t="s">
        <v>359</v>
      </c>
      <c r="E105" s="21" t="s">
        <v>131</v>
      </c>
      <c r="F105" s="21" t="s">
        <v>131</v>
      </c>
      <c r="G105" s="20" t="s">
        <v>131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 t="s">
        <v>131</v>
      </c>
      <c r="N105" s="20">
        <v>0</v>
      </c>
      <c r="O105" s="20">
        <v>0</v>
      </c>
      <c r="P105" s="20">
        <v>0</v>
      </c>
      <c r="Q105" s="20">
        <v>0</v>
      </c>
    </row>
    <row r="106" spans="2:17" ht="41.25" customHeight="1" x14ac:dyDescent="0.25">
      <c r="B106" s="49" t="s">
        <v>73</v>
      </c>
      <c r="C106" s="50" t="s">
        <v>74</v>
      </c>
      <c r="D106" s="187" t="s">
        <v>129</v>
      </c>
      <c r="E106" s="188" t="s">
        <v>131</v>
      </c>
      <c r="F106" s="188" t="s">
        <v>131</v>
      </c>
      <c r="G106" s="187" t="s">
        <v>131</v>
      </c>
      <c r="H106" s="187">
        <v>20118.660186139998</v>
      </c>
      <c r="I106" s="187">
        <v>1411.0991171580888</v>
      </c>
      <c r="J106" s="187">
        <v>16703.289000404158</v>
      </c>
      <c r="K106" s="187">
        <v>447.16883078450189</v>
      </c>
      <c r="L106" s="187">
        <v>1557.1032377932504</v>
      </c>
      <c r="M106" s="187" t="s">
        <v>131</v>
      </c>
      <c r="N106" s="187">
        <v>9547.7276661399974</v>
      </c>
      <c r="O106" s="187">
        <v>4283.3214222000006</v>
      </c>
      <c r="P106" s="187">
        <v>3646.5938439399984</v>
      </c>
      <c r="Q106" s="187">
        <v>7929.9152661399985</v>
      </c>
    </row>
    <row r="107" spans="2:17" ht="18.75" x14ac:dyDescent="0.25">
      <c r="B107" s="51" t="s">
        <v>75</v>
      </c>
      <c r="C107" s="189" t="s">
        <v>76</v>
      </c>
      <c r="D107" s="20" t="s">
        <v>129</v>
      </c>
      <c r="E107" s="21" t="s">
        <v>131</v>
      </c>
      <c r="F107" s="21" t="s">
        <v>131</v>
      </c>
      <c r="G107" s="20" t="s">
        <v>131</v>
      </c>
      <c r="H107" s="20">
        <v>14905.597918469997</v>
      </c>
      <c r="I107" s="20">
        <v>1043.3947584211887</v>
      </c>
      <c r="J107" s="20">
        <v>12222.635450207959</v>
      </c>
      <c r="K107" s="20">
        <v>447.16883078450189</v>
      </c>
      <c r="L107" s="20">
        <v>1192.3988790563503</v>
      </c>
      <c r="M107" s="20" t="s">
        <v>131</v>
      </c>
      <c r="N107" s="20">
        <v>5980.7178984699976</v>
      </c>
      <c r="O107" s="20">
        <v>3168.6240545300002</v>
      </c>
      <c r="P107" s="20">
        <v>2812.0938439399984</v>
      </c>
      <c r="Q107" s="20">
        <v>5980.7178984699985</v>
      </c>
    </row>
    <row r="108" spans="2:17" ht="37.5" x14ac:dyDescent="0.25">
      <c r="B108" s="51" t="s">
        <v>75</v>
      </c>
      <c r="C108" s="76" t="s">
        <v>444</v>
      </c>
      <c r="D108" s="20" t="s">
        <v>241</v>
      </c>
      <c r="E108" s="21">
        <v>2020</v>
      </c>
      <c r="F108" s="21">
        <v>2024</v>
      </c>
      <c r="G108" s="20" t="s">
        <v>131</v>
      </c>
      <c r="H108" s="20">
        <v>786.07979999999998</v>
      </c>
      <c r="I108" s="20">
        <v>55.025264231191571</v>
      </c>
      <c r="J108" s="20">
        <v>644.58546397989642</v>
      </c>
      <c r="K108" s="20">
        <v>23.582855668290357</v>
      </c>
      <c r="L108" s="20">
        <v>62.886216120621683</v>
      </c>
      <c r="M108" s="20" t="s">
        <v>131</v>
      </c>
      <c r="N108" s="20">
        <v>361.43939999999998</v>
      </c>
      <c r="O108" s="20">
        <v>145.0394</v>
      </c>
      <c r="P108" s="20">
        <v>216.4</v>
      </c>
      <c r="Q108" s="20">
        <v>361.43939999999998</v>
      </c>
    </row>
    <row r="109" spans="2:17" ht="37.5" x14ac:dyDescent="0.25">
      <c r="B109" s="51" t="s">
        <v>75</v>
      </c>
      <c r="C109" s="76" t="s">
        <v>445</v>
      </c>
      <c r="D109" s="20" t="s">
        <v>242</v>
      </c>
      <c r="E109" s="21">
        <v>2020</v>
      </c>
      <c r="F109" s="21">
        <v>2024</v>
      </c>
      <c r="G109" s="20" t="s">
        <v>131</v>
      </c>
      <c r="H109" s="20">
        <v>523.90245000000004</v>
      </c>
      <c r="I109" s="20">
        <v>36.673148526155153</v>
      </c>
      <c r="J109" s="20">
        <v>429.60056037227628</v>
      </c>
      <c r="K109" s="20">
        <v>15.716407258499496</v>
      </c>
      <c r="L109" s="20">
        <v>41.912333843069078</v>
      </c>
      <c r="M109" s="20" t="s">
        <v>131</v>
      </c>
      <c r="N109" s="20">
        <v>175.83295000000004</v>
      </c>
      <c r="O109" s="20">
        <v>41.152949999999997</v>
      </c>
      <c r="P109" s="20">
        <v>134.68</v>
      </c>
      <c r="Q109" s="20">
        <v>175.83295000000001</v>
      </c>
    </row>
    <row r="110" spans="2:17" ht="37.5" x14ac:dyDescent="0.25">
      <c r="B110" s="51" t="s">
        <v>75</v>
      </c>
      <c r="C110" s="76" t="s">
        <v>446</v>
      </c>
      <c r="D110" s="20" t="s">
        <v>243</v>
      </c>
      <c r="E110" s="21">
        <v>2020</v>
      </c>
      <c r="F110" s="21">
        <v>2024</v>
      </c>
      <c r="G110" s="20" t="s">
        <v>131</v>
      </c>
      <c r="H110" s="20">
        <v>1121.45235</v>
      </c>
      <c r="I110" s="20">
        <v>78.500496464261033</v>
      </c>
      <c r="J110" s="20">
        <v>919.59241359094074</v>
      </c>
      <c r="K110" s="20">
        <v>33.643676685067184</v>
      </c>
      <c r="L110" s="20">
        <v>89.715763259731276</v>
      </c>
      <c r="M110" s="20" t="s">
        <v>131</v>
      </c>
      <c r="N110" s="20">
        <v>517.83395000000007</v>
      </c>
      <c r="O110" s="20">
        <v>339.55394999999999</v>
      </c>
      <c r="P110" s="20">
        <v>178.28</v>
      </c>
      <c r="Q110" s="20">
        <v>517.83394999999996</v>
      </c>
    </row>
    <row r="111" spans="2:17" ht="37.5" x14ac:dyDescent="0.25">
      <c r="B111" s="51" t="s">
        <v>75</v>
      </c>
      <c r="C111" s="76" t="s">
        <v>447</v>
      </c>
      <c r="D111" s="20" t="s">
        <v>244</v>
      </c>
      <c r="E111" s="21">
        <v>2020</v>
      </c>
      <c r="F111" s="21">
        <v>2024</v>
      </c>
      <c r="G111" s="20" t="s">
        <v>131</v>
      </c>
      <c r="H111" s="20">
        <v>1024.7819</v>
      </c>
      <c r="I111" s="20">
        <v>71.734978755135202</v>
      </c>
      <c r="J111" s="20">
        <v>840.32093114910595</v>
      </c>
      <c r="K111" s="20">
        <v>30.743967414511587</v>
      </c>
      <c r="L111" s="20">
        <v>81.982022681247244</v>
      </c>
      <c r="M111" s="20" t="s">
        <v>131</v>
      </c>
      <c r="N111" s="20">
        <v>332.74889999999994</v>
      </c>
      <c r="O111" s="20">
        <v>139.66890000000001</v>
      </c>
      <c r="P111" s="20">
        <v>193.08</v>
      </c>
      <c r="Q111" s="20">
        <v>332.74890000000005</v>
      </c>
    </row>
    <row r="112" spans="2:17" ht="39.75" customHeight="1" x14ac:dyDescent="0.25">
      <c r="B112" s="51" t="s">
        <v>75</v>
      </c>
      <c r="C112" s="76" t="s">
        <v>448</v>
      </c>
      <c r="D112" s="20" t="s">
        <v>245</v>
      </c>
      <c r="E112" s="21">
        <v>2020</v>
      </c>
      <c r="F112" s="21">
        <v>2024</v>
      </c>
      <c r="G112" s="20" t="s">
        <v>131</v>
      </c>
      <c r="H112" s="20">
        <v>6982.3711753699981</v>
      </c>
      <c r="I112" s="20">
        <v>488.77030251645567</v>
      </c>
      <c r="J112" s="20">
        <v>5725.5859210166791</v>
      </c>
      <c r="K112" s="20">
        <v>209.47099243435522</v>
      </c>
      <c r="L112" s="20">
        <v>558.54395940250868</v>
      </c>
      <c r="M112" s="20" t="s">
        <v>131</v>
      </c>
      <c r="N112" s="20">
        <v>2891.7495353699978</v>
      </c>
      <c r="O112" s="20">
        <v>1692.0156914300001</v>
      </c>
      <c r="P112" s="20">
        <v>1199.7338439399982</v>
      </c>
      <c r="Q112" s="20">
        <v>2891.7495353699983</v>
      </c>
    </row>
    <row r="113" spans="2:17" ht="39.75" customHeight="1" x14ac:dyDescent="0.25">
      <c r="B113" s="51" t="s">
        <v>75</v>
      </c>
      <c r="C113" s="76" t="s">
        <v>479</v>
      </c>
      <c r="D113" s="20" t="s">
        <v>247</v>
      </c>
      <c r="E113" s="21">
        <v>2020</v>
      </c>
      <c r="F113" s="21">
        <v>2024</v>
      </c>
      <c r="G113" s="20" t="s">
        <v>131</v>
      </c>
      <c r="H113" s="20">
        <v>1066.9269399999998</v>
      </c>
      <c r="I113" s="20">
        <v>74.684236291174003</v>
      </c>
      <c r="J113" s="20">
        <v>874.88043543733602</v>
      </c>
      <c r="K113" s="20">
        <v>32.007529839074564</v>
      </c>
      <c r="L113" s="20">
        <v>85.354738432415161</v>
      </c>
      <c r="M113" s="20" t="s">
        <v>131</v>
      </c>
      <c r="N113" s="20">
        <v>476.34615999999977</v>
      </c>
      <c r="O113" s="20">
        <v>191.57615999999999</v>
      </c>
      <c r="P113" s="20">
        <v>284.77</v>
      </c>
      <c r="Q113" s="20">
        <v>476.34615999999994</v>
      </c>
    </row>
    <row r="114" spans="2:17" ht="45.75" customHeight="1" x14ac:dyDescent="0.25">
      <c r="B114" s="51" t="s">
        <v>75</v>
      </c>
      <c r="C114" s="76" t="s">
        <v>478</v>
      </c>
      <c r="D114" s="20" t="s">
        <v>246</v>
      </c>
      <c r="E114" s="21">
        <v>2020</v>
      </c>
      <c r="F114" s="21">
        <v>2024</v>
      </c>
      <c r="G114" s="20" t="s">
        <v>131</v>
      </c>
      <c r="H114" s="20">
        <v>722.37372309999989</v>
      </c>
      <c r="I114" s="20">
        <v>50.565759977126952</v>
      </c>
      <c r="J114" s="20">
        <v>592.34605230212674</v>
      </c>
      <c r="K114" s="20">
        <v>21.671612332873046</v>
      </c>
      <c r="L114" s="20">
        <v>57.790298487873045</v>
      </c>
      <c r="M114" s="20" t="s">
        <v>131</v>
      </c>
      <c r="N114" s="20">
        <v>237.59212309999995</v>
      </c>
      <c r="O114" s="20">
        <v>141.9421231</v>
      </c>
      <c r="P114" s="20">
        <v>95.65</v>
      </c>
      <c r="Q114" s="20">
        <v>237.59212310000001</v>
      </c>
    </row>
    <row r="115" spans="2:17" ht="37.5" x14ac:dyDescent="0.25">
      <c r="B115" s="51" t="s">
        <v>75</v>
      </c>
      <c r="C115" s="76" t="s">
        <v>449</v>
      </c>
      <c r="D115" s="20" t="s">
        <v>248</v>
      </c>
      <c r="E115" s="21">
        <v>2020</v>
      </c>
      <c r="F115" s="21">
        <v>2024</v>
      </c>
      <c r="G115" s="20" t="s">
        <v>131</v>
      </c>
      <c r="H115" s="20">
        <v>1600.1597799999997</v>
      </c>
      <c r="I115" s="20">
        <v>112.01210468446166</v>
      </c>
      <c r="J115" s="20">
        <v>1312.1314285264268</v>
      </c>
      <c r="K115" s="20">
        <v>48.00489563160685</v>
      </c>
      <c r="L115" s="20">
        <v>128.01135115750395</v>
      </c>
      <c r="M115" s="20" t="s">
        <v>131</v>
      </c>
      <c r="N115" s="20">
        <v>561.76207999999986</v>
      </c>
      <c r="O115" s="20">
        <v>343.97208000000006</v>
      </c>
      <c r="P115" s="20">
        <v>217.79</v>
      </c>
      <c r="Q115" s="20">
        <v>561.76208000000008</v>
      </c>
    </row>
    <row r="116" spans="2:17" ht="44.25" customHeight="1" x14ac:dyDescent="0.25">
      <c r="B116" s="51" t="s">
        <v>75</v>
      </c>
      <c r="C116" s="76" t="s">
        <v>450</v>
      </c>
      <c r="D116" s="20" t="s">
        <v>249</v>
      </c>
      <c r="E116" s="21">
        <v>2020</v>
      </c>
      <c r="F116" s="21">
        <v>2024</v>
      </c>
      <c r="G116" s="20" t="s">
        <v>131</v>
      </c>
      <c r="H116" s="20">
        <v>1077.5498</v>
      </c>
      <c r="I116" s="20">
        <v>75.428466975227451</v>
      </c>
      <c r="J116" s="20">
        <v>883.59224383316871</v>
      </c>
      <c r="K116" s="20">
        <v>32.326893520223592</v>
      </c>
      <c r="L116" s="20">
        <v>86.20219567138011</v>
      </c>
      <c r="M116" s="20" t="s">
        <v>131</v>
      </c>
      <c r="N116" s="20">
        <v>425.4128</v>
      </c>
      <c r="O116" s="20">
        <v>133.7028</v>
      </c>
      <c r="P116" s="20">
        <v>291.70999999999998</v>
      </c>
      <c r="Q116" s="20">
        <v>425.41279999999995</v>
      </c>
    </row>
    <row r="117" spans="2:17" ht="36" customHeight="1" x14ac:dyDescent="0.25">
      <c r="B117" s="51" t="s">
        <v>77</v>
      </c>
      <c r="C117" s="189" t="s">
        <v>78</v>
      </c>
      <c r="D117" s="20" t="s">
        <v>129</v>
      </c>
      <c r="E117" s="21" t="s">
        <v>131</v>
      </c>
      <c r="F117" s="21" t="s">
        <v>131</v>
      </c>
      <c r="G117" s="20" t="s">
        <v>131</v>
      </c>
      <c r="H117" s="20">
        <v>5213.0622676700004</v>
      </c>
      <c r="I117" s="20">
        <v>367.70435873690002</v>
      </c>
      <c r="J117" s="20">
        <v>4480.6535501961998</v>
      </c>
      <c r="K117" s="20">
        <v>0</v>
      </c>
      <c r="L117" s="20">
        <v>364.70435873690002</v>
      </c>
      <c r="M117" s="20" t="s">
        <v>131</v>
      </c>
      <c r="N117" s="20">
        <v>3567.0097676699997</v>
      </c>
      <c r="O117" s="20">
        <v>1114.6973676700002</v>
      </c>
      <c r="P117" s="20">
        <v>834.5</v>
      </c>
      <c r="Q117" s="20">
        <v>1949.1973676700002</v>
      </c>
    </row>
    <row r="118" spans="2:17" ht="18.75" x14ac:dyDescent="0.25">
      <c r="B118" s="51" t="s">
        <v>77</v>
      </c>
      <c r="C118" s="76" t="s">
        <v>112</v>
      </c>
      <c r="D118" s="20" t="s">
        <v>252</v>
      </c>
      <c r="E118" s="21">
        <v>2019</v>
      </c>
      <c r="F118" s="21">
        <v>2020</v>
      </c>
      <c r="G118" s="20" t="s">
        <v>131</v>
      </c>
      <c r="H118" s="20">
        <v>86.502799999999993</v>
      </c>
      <c r="I118" s="20">
        <v>6.0551960000000005</v>
      </c>
      <c r="J118" s="20">
        <v>74.392407999999989</v>
      </c>
      <c r="K118" s="20">
        <v>0</v>
      </c>
      <c r="L118" s="20">
        <v>6.0551960000000005</v>
      </c>
      <c r="M118" s="20" t="s">
        <v>131</v>
      </c>
      <c r="N118" s="20">
        <v>-3.5527136788005009E-15</v>
      </c>
      <c r="O118" s="20">
        <v>0</v>
      </c>
      <c r="P118" s="20">
        <v>0</v>
      </c>
      <c r="Q118" s="20">
        <v>0</v>
      </c>
    </row>
    <row r="119" spans="2:17" ht="18.75" x14ac:dyDescent="0.25">
      <c r="B119" s="51" t="s">
        <v>77</v>
      </c>
      <c r="C119" s="76" t="s">
        <v>146</v>
      </c>
      <c r="D119" s="20" t="s">
        <v>253</v>
      </c>
      <c r="E119" s="21">
        <v>2020</v>
      </c>
      <c r="F119" s="21">
        <v>2025</v>
      </c>
      <c r="G119" s="20" t="s">
        <v>131</v>
      </c>
      <c r="H119" s="20">
        <v>38.893999999999998</v>
      </c>
      <c r="I119" s="20">
        <v>2.7225800000000002</v>
      </c>
      <c r="J119" s="20">
        <v>33.448839999999997</v>
      </c>
      <c r="K119" s="20">
        <v>0</v>
      </c>
      <c r="L119" s="20">
        <v>2.7225800000000002</v>
      </c>
      <c r="M119" s="20" t="s">
        <v>131</v>
      </c>
      <c r="N119" s="20">
        <v>33.655499999999996</v>
      </c>
      <c r="O119" s="20">
        <v>0</v>
      </c>
      <c r="P119" s="20">
        <v>0</v>
      </c>
      <c r="Q119" s="20">
        <v>0</v>
      </c>
    </row>
    <row r="120" spans="2:17" ht="18.75" x14ac:dyDescent="0.25">
      <c r="B120" s="51" t="s">
        <v>77</v>
      </c>
      <c r="C120" s="76" t="s">
        <v>194</v>
      </c>
      <c r="D120" s="20" t="s">
        <v>258</v>
      </c>
      <c r="E120" s="21">
        <v>2021</v>
      </c>
      <c r="F120" s="21">
        <v>2025</v>
      </c>
      <c r="G120" s="20" t="s">
        <v>131</v>
      </c>
      <c r="H120" s="20">
        <v>242.1</v>
      </c>
      <c r="I120" s="20">
        <v>16.947000000000003</v>
      </c>
      <c r="J120" s="20">
        <v>208.20599999999999</v>
      </c>
      <c r="K120" s="20">
        <v>0</v>
      </c>
      <c r="L120" s="20">
        <v>16.947000000000003</v>
      </c>
      <c r="M120" s="20" t="s">
        <v>131</v>
      </c>
      <c r="N120" s="20">
        <v>230.81870000000001</v>
      </c>
      <c r="O120" s="20">
        <v>0</v>
      </c>
      <c r="P120" s="20">
        <v>0</v>
      </c>
      <c r="Q120" s="20">
        <v>0</v>
      </c>
    </row>
    <row r="121" spans="2:17" ht="18.75" x14ac:dyDescent="0.25">
      <c r="B121" s="51" t="s">
        <v>77</v>
      </c>
      <c r="C121" s="76" t="s">
        <v>540</v>
      </c>
      <c r="D121" s="20" t="s">
        <v>256</v>
      </c>
      <c r="E121" s="21">
        <v>2020</v>
      </c>
      <c r="F121" s="21">
        <v>2025</v>
      </c>
      <c r="G121" s="20" t="s">
        <v>131</v>
      </c>
      <c r="H121" s="20">
        <v>124.1</v>
      </c>
      <c r="I121" s="20">
        <v>8.6870000000000012</v>
      </c>
      <c r="J121" s="20">
        <v>106.726</v>
      </c>
      <c r="K121" s="20">
        <v>0</v>
      </c>
      <c r="L121" s="20">
        <v>8.6870000000000012</v>
      </c>
      <c r="M121" s="20" t="s">
        <v>131</v>
      </c>
      <c r="N121" s="20">
        <v>122.44569999999999</v>
      </c>
      <c r="O121" s="20">
        <v>0</v>
      </c>
      <c r="P121" s="20">
        <v>0</v>
      </c>
      <c r="Q121" s="20">
        <v>0</v>
      </c>
    </row>
    <row r="122" spans="2:17" ht="50.25" customHeight="1" x14ac:dyDescent="0.25">
      <c r="B122" s="51" t="s">
        <v>77</v>
      </c>
      <c r="C122" s="76" t="s">
        <v>171</v>
      </c>
      <c r="D122" s="20" t="s">
        <v>260</v>
      </c>
      <c r="E122" s="21">
        <v>2020</v>
      </c>
      <c r="F122" s="21">
        <v>2025</v>
      </c>
      <c r="G122" s="20" t="s">
        <v>131</v>
      </c>
      <c r="H122" s="20">
        <v>73.42</v>
      </c>
      <c r="I122" s="20">
        <v>5.1394000000000002</v>
      </c>
      <c r="J122" s="20">
        <v>63.141199999999998</v>
      </c>
      <c r="K122" s="20">
        <v>0</v>
      </c>
      <c r="L122" s="20">
        <v>5.1394000000000002</v>
      </c>
      <c r="M122" s="20" t="s">
        <v>131</v>
      </c>
      <c r="N122" s="20">
        <v>68.2</v>
      </c>
      <c r="O122" s="20">
        <v>0</v>
      </c>
      <c r="P122" s="20">
        <v>0</v>
      </c>
      <c r="Q122" s="20">
        <v>0</v>
      </c>
    </row>
    <row r="123" spans="2:17" ht="18.75" x14ac:dyDescent="0.25">
      <c r="B123" s="51" t="s">
        <v>77</v>
      </c>
      <c r="C123" s="76" t="s">
        <v>196</v>
      </c>
      <c r="D123" s="20" t="s">
        <v>261</v>
      </c>
      <c r="E123" s="21">
        <v>2020</v>
      </c>
      <c r="F123" s="21">
        <v>2025</v>
      </c>
      <c r="G123" s="20" t="s">
        <v>131</v>
      </c>
      <c r="H123" s="20">
        <v>82.220000000000013</v>
      </c>
      <c r="I123" s="20">
        <v>5.7554000000000016</v>
      </c>
      <c r="J123" s="20">
        <v>70.70920000000001</v>
      </c>
      <c r="K123" s="20">
        <v>0</v>
      </c>
      <c r="L123" s="20">
        <v>5.7554000000000016</v>
      </c>
      <c r="M123" s="20" t="s">
        <v>131</v>
      </c>
      <c r="N123" s="20">
        <v>77.000000000000014</v>
      </c>
      <c r="O123" s="20">
        <v>0</v>
      </c>
      <c r="P123" s="20">
        <v>0</v>
      </c>
      <c r="Q123" s="20">
        <v>0</v>
      </c>
    </row>
    <row r="124" spans="2:17" ht="18.75" x14ac:dyDescent="0.25">
      <c r="B124" s="51" t="s">
        <v>77</v>
      </c>
      <c r="C124" s="78" t="s">
        <v>370</v>
      </c>
      <c r="D124" s="28" t="s">
        <v>131</v>
      </c>
      <c r="E124" s="21">
        <v>2020</v>
      </c>
      <c r="F124" s="21">
        <v>2020</v>
      </c>
      <c r="G124" s="20" t="s">
        <v>131</v>
      </c>
      <c r="H124" s="20">
        <v>6.7</v>
      </c>
      <c r="I124" s="20">
        <v>0.46900000000000008</v>
      </c>
      <c r="J124" s="20">
        <v>5.7620000000000005</v>
      </c>
      <c r="K124" s="20">
        <v>0</v>
      </c>
      <c r="L124" s="20">
        <v>0.46900000000000008</v>
      </c>
      <c r="M124" s="20" t="s">
        <v>131</v>
      </c>
      <c r="N124" s="20">
        <v>0</v>
      </c>
      <c r="O124" s="20">
        <v>0</v>
      </c>
      <c r="P124" s="20">
        <v>0</v>
      </c>
      <c r="Q124" s="20">
        <v>0</v>
      </c>
    </row>
    <row r="125" spans="2:17" ht="18.75" x14ac:dyDescent="0.25">
      <c r="B125" s="51" t="s">
        <v>77</v>
      </c>
      <c r="C125" s="78" t="s">
        <v>429</v>
      </c>
      <c r="D125" s="20" t="s">
        <v>437</v>
      </c>
      <c r="E125" s="21">
        <v>2021</v>
      </c>
      <c r="F125" s="21">
        <v>2025</v>
      </c>
      <c r="G125" s="20" t="s">
        <v>131</v>
      </c>
      <c r="H125" s="20">
        <v>75.199999999999989</v>
      </c>
      <c r="I125" s="20">
        <v>5.2639999999999993</v>
      </c>
      <c r="J125" s="20">
        <v>64.671999999999983</v>
      </c>
      <c r="K125" s="20">
        <v>0</v>
      </c>
      <c r="L125" s="20">
        <v>5.2639999999999993</v>
      </c>
      <c r="M125" s="20" t="s">
        <v>131</v>
      </c>
      <c r="N125" s="20">
        <v>74.43249999999999</v>
      </c>
      <c r="O125" s="20">
        <v>0</v>
      </c>
      <c r="P125" s="20">
        <v>0</v>
      </c>
      <c r="Q125" s="20">
        <v>0</v>
      </c>
    </row>
    <row r="126" spans="2:17" ht="18.75" x14ac:dyDescent="0.25">
      <c r="B126" s="51" t="s">
        <v>77</v>
      </c>
      <c r="C126" s="76" t="s">
        <v>173</v>
      </c>
      <c r="D126" s="28" t="s">
        <v>311</v>
      </c>
      <c r="E126" s="21">
        <v>2020</v>
      </c>
      <c r="F126" s="21">
        <v>2021</v>
      </c>
      <c r="G126" s="20" t="s">
        <v>131</v>
      </c>
      <c r="H126" s="20">
        <v>145.20169999999999</v>
      </c>
      <c r="I126" s="20">
        <v>10.164118999999999</v>
      </c>
      <c r="J126" s="20">
        <v>124.87346199999999</v>
      </c>
      <c r="K126" s="20">
        <v>0</v>
      </c>
      <c r="L126" s="20">
        <v>10.164118999999999</v>
      </c>
      <c r="M126" s="28" t="s">
        <v>131</v>
      </c>
      <c r="N126" s="20">
        <v>-1.4210854715202004E-14</v>
      </c>
      <c r="O126" s="20">
        <v>0</v>
      </c>
      <c r="P126" s="28">
        <v>0</v>
      </c>
      <c r="Q126" s="20">
        <v>0</v>
      </c>
    </row>
    <row r="127" spans="2:17" ht="18.75" x14ac:dyDescent="0.25">
      <c r="B127" s="51" t="s">
        <v>77</v>
      </c>
      <c r="C127" s="76" t="s">
        <v>174</v>
      </c>
      <c r="D127" s="28" t="s">
        <v>213</v>
      </c>
      <c r="E127" s="21">
        <v>2019</v>
      </c>
      <c r="F127" s="21">
        <v>2025</v>
      </c>
      <c r="G127" s="28" t="s">
        <v>131</v>
      </c>
      <c r="H127" s="20">
        <v>226.8109</v>
      </c>
      <c r="I127" s="20">
        <v>15.876763000000002</v>
      </c>
      <c r="J127" s="20">
        <v>195.05737400000001</v>
      </c>
      <c r="K127" s="20">
        <v>0</v>
      </c>
      <c r="L127" s="20">
        <v>15.876763000000002</v>
      </c>
      <c r="M127" s="28" t="s">
        <v>131</v>
      </c>
      <c r="N127" s="20">
        <v>213.10000000000002</v>
      </c>
      <c r="O127" s="20">
        <v>0</v>
      </c>
      <c r="P127" s="28">
        <v>0</v>
      </c>
      <c r="Q127" s="20">
        <v>0</v>
      </c>
    </row>
    <row r="128" spans="2:17" ht="18.75" x14ac:dyDescent="0.25">
      <c r="B128" s="51" t="s">
        <v>77</v>
      </c>
      <c r="C128" s="76" t="s">
        <v>537</v>
      </c>
      <c r="D128" s="72" t="s">
        <v>214</v>
      </c>
      <c r="E128" s="21">
        <v>2021</v>
      </c>
      <c r="F128" s="21">
        <v>2025</v>
      </c>
      <c r="G128" s="28" t="s">
        <v>131</v>
      </c>
      <c r="H128" s="20">
        <v>828.8</v>
      </c>
      <c r="I128" s="20">
        <v>58.016000000000005</v>
      </c>
      <c r="J128" s="20">
        <v>712.76799999999992</v>
      </c>
      <c r="K128" s="20">
        <v>0</v>
      </c>
      <c r="L128" s="20">
        <v>58.016000000000005</v>
      </c>
      <c r="M128" s="28" t="s">
        <v>131</v>
      </c>
      <c r="N128" s="20">
        <v>798.16</v>
      </c>
      <c r="O128" s="28">
        <v>0</v>
      </c>
      <c r="P128" s="28">
        <v>0</v>
      </c>
      <c r="Q128" s="20">
        <v>0</v>
      </c>
    </row>
    <row r="129" spans="2:17" ht="37.5" x14ac:dyDescent="0.25">
      <c r="B129" s="51" t="s">
        <v>77</v>
      </c>
      <c r="C129" s="76" t="s">
        <v>192</v>
      </c>
      <c r="D129" s="20" t="s">
        <v>215</v>
      </c>
      <c r="E129" s="21">
        <v>2021</v>
      </c>
      <c r="F129" s="21">
        <v>2024</v>
      </c>
      <c r="G129" s="28" t="s">
        <v>131</v>
      </c>
      <c r="H129" s="20">
        <v>844.81787224000004</v>
      </c>
      <c r="I129" s="20">
        <v>59.137251056800011</v>
      </c>
      <c r="J129" s="20">
        <v>726.54337012640008</v>
      </c>
      <c r="K129" s="20">
        <v>0</v>
      </c>
      <c r="L129" s="20">
        <v>59.137251056800011</v>
      </c>
      <c r="M129" s="28" t="s">
        <v>131</v>
      </c>
      <c r="N129" s="20">
        <v>841.41767224</v>
      </c>
      <c r="O129" s="28">
        <v>6.9176722399999999</v>
      </c>
      <c r="P129" s="28">
        <v>834.5</v>
      </c>
      <c r="Q129" s="20">
        <v>841.41767224</v>
      </c>
    </row>
    <row r="130" spans="2:17" ht="37.5" x14ac:dyDescent="0.25">
      <c r="B130" s="51" t="s">
        <v>77</v>
      </c>
      <c r="C130" s="76" t="s">
        <v>197</v>
      </c>
      <c r="D130" s="20" t="s">
        <v>255</v>
      </c>
      <c r="E130" s="21">
        <v>2021</v>
      </c>
      <c r="F130" s="21">
        <v>2022</v>
      </c>
      <c r="G130" s="28" t="s">
        <v>131</v>
      </c>
      <c r="H130" s="20">
        <v>156.47429999999997</v>
      </c>
      <c r="I130" s="20">
        <v>10.953200999999998</v>
      </c>
      <c r="J130" s="20">
        <v>134.56789799999999</v>
      </c>
      <c r="K130" s="20">
        <v>0</v>
      </c>
      <c r="L130" s="20">
        <v>10.953200999999998</v>
      </c>
      <c r="M130" s="20" t="s">
        <v>131</v>
      </c>
      <c r="N130" s="20">
        <v>0</v>
      </c>
      <c r="O130" s="20">
        <v>0</v>
      </c>
      <c r="P130" s="20">
        <v>0</v>
      </c>
      <c r="Q130" s="20">
        <v>0</v>
      </c>
    </row>
    <row r="131" spans="2:17" ht="27" customHeight="1" x14ac:dyDescent="0.25">
      <c r="B131" s="51" t="s">
        <v>77</v>
      </c>
      <c r="C131" s="76" t="s">
        <v>175</v>
      </c>
      <c r="D131" s="20" t="s">
        <v>312</v>
      </c>
      <c r="E131" s="21">
        <v>2021</v>
      </c>
      <c r="F131" s="21">
        <v>2022</v>
      </c>
      <c r="G131" s="28" t="s">
        <v>131</v>
      </c>
      <c r="H131" s="20">
        <v>169.65759999999997</v>
      </c>
      <c r="I131" s="20">
        <v>11.876031999999999</v>
      </c>
      <c r="J131" s="20">
        <v>145.90553599999998</v>
      </c>
      <c r="K131" s="20">
        <v>0</v>
      </c>
      <c r="L131" s="20">
        <v>11.876031999999999</v>
      </c>
      <c r="M131" s="28" t="s">
        <v>131</v>
      </c>
      <c r="N131" s="20">
        <v>0</v>
      </c>
      <c r="O131" s="28">
        <v>0</v>
      </c>
      <c r="P131" s="28">
        <v>0</v>
      </c>
      <c r="Q131" s="20">
        <v>0</v>
      </c>
    </row>
    <row r="132" spans="2:17" ht="37.5" x14ac:dyDescent="0.25">
      <c r="B132" s="51" t="s">
        <v>77</v>
      </c>
      <c r="C132" s="76" t="s">
        <v>462</v>
      </c>
      <c r="D132" s="20" t="s">
        <v>477</v>
      </c>
      <c r="E132" s="21">
        <v>2021</v>
      </c>
      <c r="F132" s="21">
        <v>2022</v>
      </c>
      <c r="G132" s="20" t="s">
        <v>131</v>
      </c>
      <c r="H132" s="20">
        <v>577.11122</v>
      </c>
      <c r="I132" s="20">
        <v>40.397785400000004</v>
      </c>
      <c r="J132" s="20">
        <v>496.3156492</v>
      </c>
      <c r="K132" s="20">
        <v>0</v>
      </c>
      <c r="L132" s="20">
        <v>40.397785400000004</v>
      </c>
      <c r="M132" s="28" t="s">
        <v>131</v>
      </c>
      <c r="N132" s="20">
        <v>0</v>
      </c>
      <c r="O132" s="20">
        <v>0</v>
      </c>
      <c r="P132" s="28">
        <v>0</v>
      </c>
      <c r="Q132" s="20">
        <v>0</v>
      </c>
    </row>
    <row r="133" spans="2:17" ht="37.5" x14ac:dyDescent="0.25">
      <c r="B133" s="51" t="s">
        <v>77</v>
      </c>
      <c r="C133" s="137" t="s">
        <v>522</v>
      </c>
      <c r="D133" s="20" t="s">
        <v>530</v>
      </c>
      <c r="E133" s="21">
        <v>2021</v>
      </c>
      <c r="F133" s="21">
        <v>2023</v>
      </c>
      <c r="G133" s="28" t="s">
        <v>131</v>
      </c>
      <c r="H133" s="20">
        <v>687.36781618000009</v>
      </c>
      <c r="I133" s="20">
        <v>48.115747132600013</v>
      </c>
      <c r="J133" s="20">
        <v>591.13632191480008</v>
      </c>
      <c r="K133" s="20">
        <v>0</v>
      </c>
      <c r="L133" s="20">
        <v>48.115747132600013</v>
      </c>
      <c r="M133" s="20" t="s">
        <v>131</v>
      </c>
      <c r="N133" s="20">
        <v>286.65481618000007</v>
      </c>
      <c r="O133" s="20">
        <v>286.65481618000001</v>
      </c>
      <c r="P133" s="20">
        <v>0</v>
      </c>
      <c r="Q133" s="20">
        <v>286.65481618000001</v>
      </c>
    </row>
    <row r="134" spans="2:17" ht="37.5" customHeight="1" x14ac:dyDescent="0.25">
      <c r="B134" s="51" t="s">
        <v>77</v>
      </c>
      <c r="C134" s="137" t="s">
        <v>560</v>
      </c>
      <c r="D134" s="20" t="s">
        <v>561</v>
      </c>
      <c r="E134" s="21">
        <v>2022</v>
      </c>
      <c r="F134" s="21">
        <v>2022</v>
      </c>
      <c r="G134" s="28" t="s">
        <v>131</v>
      </c>
      <c r="H134" s="20">
        <v>12.495200000000001</v>
      </c>
      <c r="I134" s="20">
        <v>0.87466400000000011</v>
      </c>
      <c r="J134" s="20">
        <v>10.745872</v>
      </c>
      <c r="K134" s="20">
        <v>0</v>
      </c>
      <c r="L134" s="20">
        <v>0.87466400000000011</v>
      </c>
      <c r="M134" s="20" t="s">
        <v>131</v>
      </c>
      <c r="N134" s="20">
        <v>0</v>
      </c>
      <c r="O134" s="20">
        <v>0</v>
      </c>
      <c r="P134" s="20">
        <v>0</v>
      </c>
      <c r="Q134" s="20">
        <v>0</v>
      </c>
    </row>
    <row r="135" spans="2:17" ht="48" customHeight="1" x14ac:dyDescent="0.25">
      <c r="B135" s="51" t="s">
        <v>77</v>
      </c>
      <c r="C135" s="78" t="s">
        <v>628</v>
      </c>
      <c r="D135" s="20" t="s">
        <v>634</v>
      </c>
      <c r="E135" s="21">
        <v>2022</v>
      </c>
      <c r="F135" s="21">
        <v>2022</v>
      </c>
      <c r="G135" s="28" t="s">
        <v>131</v>
      </c>
      <c r="H135" s="20">
        <v>0.31619999999999998</v>
      </c>
      <c r="I135" s="20">
        <v>2.2134000000000001E-2</v>
      </c>
      <c r="J135" s="20">
        <v>0.27193200000000001</v>
      </c>
      <c r="K135" s="20">
        <v>0</v>
      </c>
      <c r="L135" s="20">
        <v>2.2134000000000001E-2</v>
      </c>
      <c r="M135" s="20" t="s">
        <v>131</v>
      </c>
      <c r="N135" s="20">
        <v>0</v>
      </c>
      <c r="O135" s="20">
        <v>0</v>
      </c>
      <c r="P135" s="20">
        <v>0</v>
      </c>
      <c r="Q135" s="20">
        <v>0</v>
      </c>
    </row>
    <row r="136" spans="2:17" ht="48.75" customHeight="1" x14ac:dyDescent="0.25">
      <c r="B136" s="51" t="s">
        <v>77</v>
      </c>
      <c r="C136" s="78" t="s">
        <v>629</v>
      </c>
      <c r="D136" s="20" t="s">
        <v>635</v>
      </c>
      <c r="E136" s="21">
        <v>2022</v>
      </c>
      <c r="F136" s="21">
        <v>2023</v>
      </c>
      <c r="G136" s="28" t="s">
        <v>131</v>
      </c>
      <c r="H136" s="20">
        <v>6.8783622500000003</v>
      </c>
      <c r="I136" s="20">
        <v>0.48148535750000004</v>
      </c>
      <c r="J136" s="20">
        <v>5.9153915350000004</v>
      </c>
      <c r="K136" s="20">
        <v>0</v>
      </c>
      <c r="L136" s="20">
        <v>0.48148535750000004</v>
      </c>
      <c r="M136" s="20" t="s">
        <v>131</v>
      </c>
      <c r="N136" s="20">
        <v>3.4555622500000003</v>
      </c>
      <c r="O136" s="20">
        <v>3.4555622499999998</v>
      </c>
      <c r="P136" s="20">
        <v>0</v>
      </c>
      <c r="Q136" s="20">
        <v>3.4555622499999998</v>
      </c>
    </row>
    <row r="137" spans="2:17" ht="59.25" customHeight="1" x14ac:dyDescent="0.25">
      <c r="B137" s="51" t="s">
        <v>77</v>
      </c>
      <c r="C137" s="78" t="s">
        <v>630</v>
      </c>
      <c r="D137" s="20" t="s">
        <v>636</v>
      </c>
      <c r="E137" s="21">
        <v>2022</v>
      </c>
      <c r="F137" s="21">
        <v>2022</v>
      </c>
      <c r="G137" s="28" t="s">
        <v>131</v>
      </c>
      <c r="H137" s="20">
        <v>2.7033</v>
      </c>
      <c r="I137" s="20">
        <v>0.18923100000000001</v>
      </c>
      <c r="J137" s="20">
        <v>2.3248380000000002</v>
      </c>
      <c r="K137" s="20">
        <v>0</v>
      </c>
      <c r="L137" s="20">
        <v>0.18923100000000001</v>
      </c>
      <c r="M137" s="20" t="s">
        <v>131</v>
      </c>
      <c r="N137" s="20">
        <v>0</v>
      </c>
      <c r="O137" s="20">
        <v>0</v>
      </c>
      <c r="P137" s="20">
        <v>0</v>
      </c>
      <c r="Q137" s="20">
        <v>0</v>
      </c>
    </row>
    <row r="138" spans="2:17" ht="61.5" customHeight="1" x14ac:dyDescent="0.25">
      <c r="B138" s="51" t="s">
        <v>77</v>
      </c>
      <c r="C138" s="78" t="s">
        <v>631</v>
      </c>
      <c r="D138" s="20" t="s">
        <v>637</v>
      </c>
      <c r="E138" s="21">
        <v>2022</v>
      </c>
      <c r="F138" s="21">
        <v>2022</v>
      </c>
      <c r="G138" s="28" t="s">
        <v>131</v>
      </c>
      <c r="H138" s="20">
        <v>0.62849999999999995</v>
      </c>
      <c r="I138" s="20">
        <v>4.3994999999999999E-2</v>
      </c>
      <c r="J138" s="20">
        <v>0.54050999999999993</v>
      </c>
      <c r="K138" s="20">
        <v>0</v>
      </c>
      <c r="L138" s="20">
        <v>4.3994999999999999E-2</v>
      </c>
      <c r="M138" s="20" t="s">
        <v>131</v>
      </c>
      <c r="N138" s="20">
        <v>0</v>
      </c>
      <c r="O138" s="20">
        <v>0</v>
      </c>
      <c r="P138" s="20">
        <v>0</v>
      </c>
      <c r="Q138" s="20">
        <v>0</v>
      </c>
    </row>
    <row r="139" spans="2:17" ht="50.25" customHeight="1" x14ac:dyDescent="0.25">
      <c r="B139" s="51" t="s">
        <v>77</v>
      </c>
      <c r="C139" s="78" t="s">
        <v>632</v>
      </c>
      <c r="D139" s="20" t="s">
        <v>638</v>
      </c>
      <c r="E139" s="21">
        <v>2022</v>
      </c>
      <c r="F139" s="21">
        <v>2022</v>
      </c>
      <c r="G139" s="28" t="s">
        <v>131</v>
      </c>
      <c r="H139" s="20">
        <v>2.4348000000000001</v>
      </c>
      <c r="I139" s="20">
        <v>0.17043600000000003</v>
      </c>
      <c r="J139" s="20">
        <v>2.093928</v>
      </c>
      <c r="K139" s="20">
        <v>0</v>
      </c>
      <c r="L139" s="20">
        <v>0.17043600000000003</v>
      </c>
      <c r="M139" s="20" t="s">
        <v>131</v>
      </c>
      <c r="N139" s="20">
        <v>0</v>
      </c>
      <c r="O139" s="20">
        <v>0</v>
      </c>
      <c r="P139" s="20">
        <v>0</v>
      </c>
      <c r="Q139" s="20">
        <v>0</v>
      </c>
    </row>
    <row r="140" spans="2:17" ht="77.25" customHeight="1" x14ac:dyDescent="0.25">
      <c r="B140" s="51" t="s">
        <v>77</v>
      </c>
      <c r="C140" s="78" t="s">
        <v>633</v>
      </c>
      <c r="D140" s="20" t="s">
        <v>639</v>
      </c>
      <c r="E140" s="21">
        <v>2022</v>
      </c>
      <c r="F140" s="21">
        <v>2022</v>
      </c>
      <c r="G140" s="28" t="s">
        <v>131</v>
      </c>
      <c r="H140" s="20">
        <v>3</v>
      </c>
      <c r="I140" s="20">
        <v>3</v>
      </c>
      <c r="J140" s="20">
        <v>0</v>
      </c>
      <c r="K140" s="20">
        <v>0</v>
      </c>
      <c r="L140" s="20">
        <v>0</v>
      </c>
      <c r="M140" s="20" t="s">
        <v>131</v>
      </c>
      <c r="N140" s="20">
        <v>0</v>
      </c>
      <c r="O140" s="20">
        <v>0</v>
      </c>
      <c r="P140" s="20">
        <v>0</v>
      </c>
      <c r="Q140" s="20">
        <v>0</v>
      </c>
    </row>
    <row r="141" spans="2:17" ht="27" customHeight="1" x14ac:dyDescent="0.25">
      <c r="B141" s="51" t="s">
        <v>77</v>
      </c>
      <c r="C141" s="76" t="s">
        <v>619</v>
      </c>
      <c r="D141" s="20" t="s">
        <v>624</v>
      </c>
      <c r="E141" s="21">
        <v>2022</v>
      </c>
      <c r="F141" s="21">
        <v>2023</v>
      </c>
      <c r="G141" s="28" t="s">
        <v>131</v>
      </c>
      <c r="H141" s="20">
        <v>113.96738000000001</v>
      </c>
      <c r="I141" s="20">
        <v>7.9777166000000008</v>
      </c>
      <c r="J141" s="20">
        <v>98.011946800000004</v>
      </c>
      <c r="K141" s="20">
        <v>0</v>
      </c>
      <c r="L141" s="20">
        <v>7.9777166000000008</v>
      </c>
      <c r="M141" s="20" t="s">
        <v>131</v>
      </c>
      <c r="N141" s="20">
        <v>113.96298</v>
      </c>
      <c r="O141" s="20">
        <v>113.96298</v>
      </c>
      <c r="P141" s="20">
        <v>0</v>
      </c>
      <c r="Q141" s="20">
        <v>113.96298</v>
      </c>
    </row>
    <row r="142" spans="2:17" ht="25.5" customHeight="1" x14ac:dyDescent="0.25">
      <c r="B142" s="51" t="s">
        <v>77</v>
      </c>
      <c r="C142" s="76" t="s">
        <v>620</v>
      </c>
      <c r="D142" s="20" t="s">
        <v>625</v>
      </c>
      <c r="E142" s="21">
        <v>2023</v>
      </c>
      <c r="F142" s="21">
        <v>2023</v>
      </c>
      <c r="G142" s="28" t="s">
        <v>131</v>
      </c>
      <c r="H142" s="20">
        <v>652.39287999999999</v>
      </c>
      <c r="I142" s="20">
        <v>45.667501600000001</v>
      </c>
      <c r="J142" s="20">
        <v>561.05787680000003</v>
      </c>
      <c r="K142" s="20">
        <v>0</v>
      </c>
      <c r="L142" s="20">
        <v>45.667501600000001</v>
      </c>
      <c r="M142" s="20" t="s">
        <v>131</v>
      </c>
      <c r="N142" s="20">
        <v>650.83889999999997</v>
      </c>
      <c r="O142" s="20">
        <v>650.83889999999997</v>
      </c>
      <c r="P142" s="20">
        <v>0</v>
      </c>
      <c r="Q142" s="20">
        <v>650.83889999999997</v>
      </c>
    </row>
    <row r="143" spans="2:17" ht="20.25" customHeight="1" x14ac:dyDescent="0.25">
      <c r="B143" s="51" t="s">
        <v>77</v>
      </c>
      <c r="C143" s="76" t="s">
        <v>621</v>
      </c>
      <c r="D143" s="20" t="s">
        <v>626</v>
      </c>
      <c r="E143" s="21">
        <v>2023</v>
      </c>
      <c r="F143" s="21">
        <v>2023</v>
      </c>
      <c r="G143" s="28" t="s">
        <v>131</v>
      </c>
      <c r="H143" s="20">
        <v>52.867437000000002</v>
      </c>
      <c r="I143" s="20">
        <v>3.7007205900000004</v>
      </c>
      <c r="J143" s="20">
        <v>45.465995820000003</v>
      </c>
      <c r="K143" s="20">
        <v>0</v>
      </c>
      <c r="L143" s="20">
        <v>3.7007205900000004</v>
      </c>
      <c r="M143" s="20" t="s">
        <v>131</v>
      </c>
      <c r="N143" s="20">
        <v>52.867437000000002</v>
      </c>
      <c r="O143" s="20">
        <v>52.867437000000002</v>
      </c>
      <c r="P143" s="20">
        <v>0</v>
      </c>
      <c r="Q143" s="20">
        <v>52.867437000000002</v>
      </c>
    </row>
    <row r="144" spans="2:17" ht="18.75" x14ac:dyDescent="0.25">
      <c r="B144" s="51" t="s">
        <v>77</v>
      </c>
      <c r="C144" s="76" t="s">
        <v>195</v>
      </c>
      <c r="D144" s="20" t="s">
        <v>259</v>
      </c>
      <c r="E144" s="21" t="s">
        <v>131</v>
      </c>
      <c r="F144" s="21" t="s">
        <v>131</v>
      </c>
      <c r="G144" s="20" t="s">
        <v>131</v>
      </c>
      <c r="H144" s="20">
        <v>0</v>
      </c>
      <c r="I144" s="20">
        <v>0</v>
      </c>
      <c r="J144" s="20">
        <v>0</v>
      </c>
      <c r="K144" s="20">
        <v>0</v>
      </c>
      <c r="L144" s="20">
        <v>0</v>
      </c>
      <c r="M144" s="20" t="s">
        <v>131</v>
      </c>
      <c r="N144" s="20">
        <v>0</v>
      </c>
      <c r="O144" s="20">
        <v>0</v>
      </c>
      <c r="P144" s="20">
        <v>0</v>
      </c>
      <c r="Q144" s="20">
        <v>0</v>
      </c>
    </row>
    <row r="145" spans="2:17" ht="18.75" x14ac:dyDescent="0.25">
      <c r="B145" s="51" t="s">
        <v>77</v>
      </c>
      <c r="C145" s="78" t="s">
        <v>158</v>
      </c>
      <c r="D145" s="20" t="s">
        <v>262</v>
      </c>
      <c r="E145" s="21" t="s">
        <v>131</v>
      </c>
      <c r="F145" s="21" t="s">
        <v>131</v>
      </c>
      <c r="G145" s="20" t="s">
        <v>131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0" t="s">
        <v>131</v>
      </c>
      <c r="N145" s="20">
        <v>0</v>
      </c>
      <c r="O145" s="20">
        <v>0</v>
      </c>
      <c r="P145" s="20">
        <v>0</v>
      </c>
      <c r="Q145" s="20">
        <v>0</v>
      </c>
    </row>
    <row r="146" spans="2:17" ht="18.75" x14ac:dyDescent="0.25">
      <c r="B146" s="51" t="s">
        <v>77</v>
      </c>
      <c r="C146" s="78" t="s">
        <v>160</v>
      </c>
      <c r="D146" s="20" t="s">
        <v>263</v>
      </c>
      <c r="E146" s="21" t="s">
        <v>131</v>
      </c>
      <c r="F146" s="21" t="s">
        <v>131</v>
      </c>
      <c r="G146" s="20" t="s">
        <v>131</v>
      </c>
      <c r="H146" s="20">
        <v>0</v>
      </c>
      <c r="I146" s="20">
        <v>0</v>
      </c>
      <c r="J146" s="20">
        <v>0</v>
      </c>
      <c r="K146" s="20">
        <v>0</v>
      </c>
      <c r="L146" s="20">
        <v>0</v>
      </c>
      <c r="M146" s="20" t="s">
        <v>131</v>
      </c>
      <c r="N146" s="20">
        <v>0</v>
      </c>
      <c r="O146" s="20">
        <v>0</v>
      </c>
      <c r="P146" s="20">
        <v>0</v>
      </c>
      <c r="Q146" s="20">
        <v>0</v>
      </c>
    </row>
    <row r="147" spans="2:17" ht="18.75" x14ac:dyDescent="0.25">
      <c r="B147" s="51" t="s">
        <v>77</v>
      </c>
      <c r="C147" s="78" t="s">
        <v>368</v>
      </c>
      <c r="D147" s="28" t="s">
        <v>435</v>
      </c>
      <c r="E147" s="21" t="s">
        <v>131</v>
      </c>
      <c r="F147" s="21" t="s">
        <v>131</v>
      </c>
      <c r="G147" s="20" t="s">
        <v>131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0" t="s">
        <v>131</v>
      </c>
      <c r="N147" s="20">
        <v>0</v>
      </c>
      <c r="O147" s="20">
        <v>0</v>
      </c>
      <c r="P147" s="20">
        <v>0</v>
      </c>
      <c r="Q147" s="20">
        <v>0</v>
      </c>
    </row>
    <row r="148" spans="2:17" ht="18.75" x14ac:dyDescent="0.25">
      <c r="B148" s="51" t="s">
        <v>77</v>
      </c>
      <c r="C148" s="78" t="s">
        <v>369</v>
      </c>
      <c r="D148" s="28" t="s">
        <v>436</v>
      </c>
      <c r="E148" s="21" t="s">
        <v>131</v>
      </c>
      <c r="F148" s="21" t="s">
        <v>131</v>
      </c>
      <c r="G148" s="20" t="s">
        <v>131</v>
      </c>
      <c r="H148" s="20">
        <v>0</v>
      </c>
      <c r="I148" s="20">
        <v>0</v>
      </c>
      <c r="J148" s="20">
        <v>0</v>
      </c>
      <c r="K148" s="20">
        <v>0</v>
      </c>
      <c r="L148" s="20">
        <v>0</v>
      </c>
      <c r="M148" s="20" t="s">
        <v>131</v>
      </c>
      <c r="N148" s="20">
        <v>0</v>
      </c>
      <c r="O148" s="20">
        <v>0</v>
      </c>
      <c r="P148" s="20">
        <v>0</v>
      </c>
      <c r="Q148" s="20">
        <v>0</v>
      </c>
    </row>
    <row r="149" spans="2:17" ht="18.75" x14ac:dyDescent="0.25">
      <c r="B149" s="51" t="s">
        <v>77</v>
      </c>
      <c r="C149" s="76" t="s">
        <v>180</v>
      </c>
      <c r="D149" s="20" t="s">
        <v>250</v>
      </c>
      <c r="E149" s="21" t="s">
        <v>131</v>
      </c>
      <c r="F149" s="21" t="s">
        <v>131</v>
      </c>
      <c r="G149" s="20" t="s">
        <v>131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0" t="s">
        <v>131</v>
      </c>
      <c r="N149" s="20">
        <v>0</v>
      </c>
      <c r="O149" s="20">
        <v>0</v>
      </c>
      <c r="P149" s="20">
        <v>0</v>
      </c>
      <c r="Q149" s="20">
        <v>0</v>
      </c>
    </row>
    <row r="150" spans="2:17" ht="18.75" x14ac:dyDescent="0.25">
      <c r="B150" s="51" t="s">
        <v>77</v>
      </c>
      <c r="C150" s="76" t="s">
        <v>363</v>
      </c>
      <c r="D150" s="20" t="s">
        <v>251</v>
      </c>
      <c r="E150" s="21" t="s">
        <v>131</v>
      </c>
      <c r="F150" s="21" t="s">
        <v>131</v>
      </c>
      <c r="G150" s="20" t="s">
        <v>131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0" t="s">
        <v>131</v>
      </c>
      <c r="N150" s="20">
        <v>0</v>
      </c>
      <c r="O150" s="20">
        <v>0</v>
      </c>
      <c r="P150" s="20">
        <v>0</v>
      </c>
      <c r="Q150" s="20">
        <v>0</v>
      </c>
    </row>
    <row r="151" spans="2:17" ht="18.75" x14ac:dyDescent="0.25">
      <c r="B151" s="51" t="s">
        <v>77</v>
      </c>
      <c r="C151" s="76" t="s">
        <v>172</v>
      </c>
      <c r="D151" s="28" t="s">
        <v>310</v>
      </c>
      <c r="E151" s="21" t="s">
        <v>131</v>
      </c>
      <c r="F151" s="21" t="s">
        <v>131</v>
      </c>
      <c r="G151" s="28" t="s">
        <v>131</v>
      </c>
      <c r="H151" s="20">
        <v>0</v>
      </c>
      <c r="I151" s="20">
        <v>0</v>
      </c>
      <c r="J151" s="20">
        <v>0</v>
      </c>
      <c r="K151" s="20">
        <v>0</v>
      </c>
      <c r="L151" s="20">
        <v>0</v>
      </c>
      <c r="M151" s="28" t="s">
        <v>131</v>
      </c>
      <c r="N151" s="20">
        <v>0</v>
      </c>
      <c r="O151" s="20">
        <v>0</v>
      </c>
      <c r="P151" s="28">
        <v>0</v>
      </c>
      <c r="Q151" s="20">
        <v>0</v>
      </c>
    </row>
    <row r="152" spans="2:17" ht="18.75" x14ac:dyDescent="0.25">
      <c r="B152" s="51" t="s">
        <v>77</v>
      </c>
      <c r="C152" s="76" t="s">
        <v>161</v>
      </c>
      <c r="D152" s="20" t="s">
        <v>257</v>
      </c>
      <c r="E152" s="21" t="s">
        <v>131</v>
      </c>
      <c r="F152" s="21" t="s">
        <v>131</v>
      </c>
      <c r="G152" s="20" t="s">
        <v>131</v>
      </c>
      <c r="H152" s="20">
        <v>0</v>
      </c>
      <c r="I152" s="20">
        <v>0</v>
      </c>
      <c r="J152" s="20">
        <v>0</v>
      </c>
      <c r="K152" s="20">
        <v>0</v>
      </c>
      <c r="L152" s="20">
        <v>0</v>
      </c>
      <c r="M152" s="20" t="s">
        <v>131</v>
      </c>
      <c r="N152" s="20">
        <v>0</v>
      </c>
      <c r="O152" s="20">
        <v>0</v>
      </c>
      <c r="P152" s="20">
        <v>0</v>
      </c>
      <c r="Q152" s="20">
        <v>0</v>
      </c>
    </row>
    <row r="153" spans="2:17" ht="18.75" x14ac:dyDescent="0.25">
      <c r="B153" s="51" t="s">
        <v>77</v>
      </c>
      <c r="C153" s="76" t="s">
        <v>176</v>
      </c>
      <c r="D153" s="20" t="s">
        <v>216</v>
      </c>
      <c r="E153" s="21" t="s">
        <v>131</v>
      </c>
      <c r="F153" s="21" t="s">
        <v>131</v>
      </c>
      <c r="G153" s="28" t="s">
        <v>131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8" t="s">
        <v>131</v>
      </c>
      <c r="N153" s="20">
        <v>0</v>
      </c>
      <c r="O153" s="20">
        <v>0</v>
      </c>
      <c r="P153" s="28">
        <v>0</v>
      </c>
      <c r="Q153" s="20">
        <v>0</v>
      </c>
    </row>
    <row r="154" spans="2:17" ht="18.75" x14ac:dyDescent="0.25">
      <c r="B154" s="51" t="s">
        <v>77</v>
      </c>
      <c r="C154" s="76" t="s">
        <v>154</v>
      </c>
      <c r="D154" s="20" t="s">
        <v>254</v>
      </c>
      <c r="E154" s="21" t="s">
        <v>131</v>
      </c>
      <c r="F154" s="21" t="s">
        <v>131</v>
      </c>
      <c r="G154" s="20" t="s">
        <v>131</v>
      </c>
      <c r="H154" s="20">
        <v>0</v>
      </c>
      <c r="I154" s="20">
        <v>0</v>
      </c>
      <c r="J154" s="20">
        <v>0</v>
      </c>
      <c r="K154" s="20">
        <v>0</v>
      </c>
      <c r="L154" s="20">
        <v>0</v>
      </c>
      <c r="M154" s="20" t="s">
        <v>131</v>
      </c>
      <c r="N154" s="20">
        <v>0</v>
      </c>
      <c r="O154" s="20">
        <v>0</v>
      </c>
      <c r="P154" s="20">
        <v>0</v>
      </c>
      <c r="Q154" s="20">
        <v>0</v>
      </c>
    </row>
    <row r="155" spans="2:17" ht="37.5" x14ac:dyDescent="0.25">
      <c r="B155" s="49" t="s">
        <v>79</v>
      </c>
      <c r="C155" s="50" t="s">
        <v>80</v>
      </c>
      <c r="D155" s="187" t="s">
        <v>129</v>
      </c>
      <c r="E155" s="188" t="s">
        <v>131</v>
      </c>
      <c r="F155" s="188" t="s">
        <v>131</v>
      </c>
      <c r="G155" s="187" t="s">
        <v>131</v>
      </c>
      <c r="H155" s="187">
        <v>4649.8143751302296</v>
      </c>
      <c r="I155" s="187">
        <v>418.48569339256801</v>
      </c>
      <c r="J155" s="187">
        <v>1022.9661371174169</v>
      </c>
      <c r="K155" s="187">
        <v>3022.3885771989744</v>
      </c>
      <c r="L155" s="187">
        <v>185.97396742126958</v>
      </c>
      <c r="M155" s="187" t="s">
        <v>131</v>
      </c>
      <c r="N155" s="187">
        <v>1974.9861860600001</v>
      </c>
      <c r="O155" s="187">
        <v>842.10003000000006</v>
      </c>
      <c r="P155" s="187">
        <v>1132.8861560600001</v>
      </c>
      <c r="Q155" s="187">
        <v>1974.9861860600001</v>
      </c>
    </row>
    <row r="156" spans="2:17" ht="57.75" customHeight="1" x14ac:dyDescent="0.25">
      <c r="B156" s="51" t="s">
        <v>81</v>
      </c>
      <c r="C156" s="189" t="s">
        <v>82</v>
      </c>
      <c r="D156" s="20" t="s">
        <v>129</v>
      </c>
      <c r="E156" s="21" t="s">
        <v>131</v>
      </c>
      <c r="F156" s="21" t="s">
        <v>131</v>
      </c>
      <c r="G156" s="20" t="s">
        <v>131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 t="s">
        <v>131</v>
      </c>
      <c r="N156" s="20">
        <v>0</v>
      </c>
      <c r="O156" s="20">
        <v>0</v>
      </c>
      <c r="P156" s="20">
        <v>0</v>
      </c>
      <c r="Q156" s="20">
        <v>0</v>
      </c>
    </row>
    <row r="157" spans="2:17" ht="54.75" customHeight="1" x14ac:dyDescent="0.25">
      <c r="B157" s="51" t="s">
        <v>83</v>
      </c>
      <c r="C157" s="189" t="s">
        <v>84</v>
      </c>
      <c r="D157" s="20" t="s">
        <v>129</v>
      </c>
      <c r="E157" s="21" t="s">
        <v>131</v>
      </c>
      <c r="F157" s="21" t="s">
        <v>131</v>
      </c>
      <c r="G157" s="20" t="s">
        <v>131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 t="s">
        <v>131</v>
      </c>
      <c r="N157" s="20">
        <v>0</v>
      </c>
      <c r="O157" s="20">
        <v>0</v>
      </c>
      <c r="P157" s="20">
        <v>0</v>
      </c>
      <c r="Q157" s="20">
        <v>0</v>
      </c>
    </row>
    <row r="158" spans="2:17" ht="18.75" x14ac:dyDescent="0.25">
      <c r="B158" s="51" t="s">
        <v>85</v>
      </c>
      <c r="C158" s="189" t="s">
        <v>86</v>
      </c>
      <c r="D158" s="20" t="s">
        <v>129</v>
      </c>
      <c r="E158" s="21" t="s">
        <v>131</v>
      </c>
      <c r="F158" s="21" t="s">
        <v>131</v>
      </c>
      <c r="G158" s="20" t="s">
        <v>131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 t="s">
        <v>131</v>
      </c>
      <c r="N158" s="20">
        <v>0</v>
      </c>
      <c r="O158" s="20">
        <v>0</v>
      </c>
      <c r="P158" s="20">
        <v>0</v>
      </c>
      <c r="Q158" s="20">
        <v>0</v>
      </c>
    </row>
    <row r="159" spans="2:17" ht="37.5" x14ac:dyDescent="0.25">
      <c r="B159" s="51" t="s">
        <v>87</v>
      </c>
      <c r="C159" s="189" t="s">
        <v>88</v>
      </c>
      <c r="D159" s="20" t="s">
        <v>129</v>
      </c>
      <c r="E159" s="21" t="s">
        <v>131</v>
      </c>
      <c r="F159" s="21" t="s">
        <v>131</v>
      </c>
      <c r="G159" s="20" t="s">
        <v>131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  <c r="M159" s="20" t="s">
        <v>131</v>
      </c>
      <c r="N159" s="20">
        <v>0</v>
      </c>
      <c r="O159" s="20">
        <v>0</v>
      </c>
      <c r="P159" s="20">
        <v>0</v>
      </c>
      <c r="Q159" s="20">
        <v>0</v>
      </c>
    </row>
    <row r="160" spans="2:17" ht="37.5" x14ac:dyDescent="0.25">
      <c r="B160" s="51" t="s">
        <v>89</v>
      </c>
      <c r="C160" s="189" t="s">
        <v>90</v>
      </c>
      <c r="D160" s="20" t="s">
        <v>129</v>
      </c>
      <c r="E160" s="21" t="s">
        <v>131</v>
      </c>
      <c r="F160" s="21" t="s">
        <v>131</v>
      </c>
      <c r="G160" s="20" t="s">
        <v>131</v>
      </c>
      <c r="H160" s="20">
        <v>4637.3448860600001</v>
      </c>
      <c r="I160" s="20">
        <v>417.36351898613611</v>
      </c>
      <c r="J160" s="20">
        <v>1020.2225288251311</v>
      </c>
      <c r="K160" s="20">
        <v>3014.2825268227089</v>
      </c>
      <c r="L160" s="20">
        <v>185.47631142602356</v>
      </c>
      <c r="M160" s="20" t="s">
        <v>131</v>
      </c>
      <c r="N160" s="20">
        <v>1974.9861860600001</v>
      </c>
      <c r="O160" s="20">
        <v>842.10003000000006</v>
      </c>
      <c r="P160" s="20">
        <v>1132.8861560600001</v>
      </c>
      <c r="Q160" s="20">
        <v>1974.9861860600001</v>
      </c>
    </row>
    <row r="161" spans="2:17" ht="37.5" x14ac:dyDescent="0.25">
      <c r="B161" s="51" t="s">
        <v>89</v>
      </c>
      <c r="C161" s="76" t="s">
        <v>374</v>
      </c>
      <c r="D161" s="20" t="s">
        <v>264</v>
      </c>
      <c r="E161" s="21">
        <v>2020</v>
      </c>
      <c r="F161" s="21">
        <v>2024</v>
      </c>
      <c r="G161" s="20" t="s">
        <v>131</v>
      </c>
      <c r="H161" s="20">
        <v>451.63677125999999</v>
      </c>
      <c r="I161" s="20">
        <v>40.646975831325058</v>
      </c>
      <c r="J161" s="20">
        <v>99.360756841349868</v>
      </c>
      <c r="K161" s="20">
        <v>293.56556922937466</v>
      </c>
      <c r="L161" s="20">
        <v>18.06346935795036</v>
      </c>
      <c r="M161" s="20" t="s">
        <v>131</v>
      </c>
      <c r="N161" s="20">
        <v>198.35157125999996</v>
      </c>
      <c r="O161" s="20">
        <v>87.604800000000012</v>
      </c>
      <c r="P161" s="20">
        <v>110.74677126</v>
      </c>
      <c r="Q161" s="20">
        <v>198.35157126000001</v>
      </c>
    </row>
    <row r="162" spans="2:17" ht="37.5" x14ac:dyDescent="0.25">
      <c r="B162" s="51" t="s">
        <v>89</v>
      </c>
      <c r="C162" s="76" t="s">
        <v>376</v>
      </c>
      <c r="D162" s="20" t="s">
        <v>266</v>
      </c>
      <c r="E162" s="21">
        <v>2020</v>
      </c>
      <c r="F162" s="21">
        <v>2024</v>
      </c>
      <c r="G162" s="20" t="s">
        <v>131</v>
      </c>
      <c r="H162" s="20">
        <v>344.76702420000004</v>
      </c>
      <c r="I162" s="20">
        <v>31.031886997410986</v>
      </c>
      <c r="J162" s="20">
        <v>75.852551749881314</v>
      </c>
      <c r="K162" s="20">
        <v>224.10332376235164</v>
      </c>
      <c r="L162" s="20">
        <v>13.779261690356059</v>
      </c>
      <c r="M162" s="20" t="s">
        <v>131</v>
      </c>
      <c r="N162" s="20">
        <v>129.6487242</v>
      </c>
      <c r="O162" s="20">
        <v>50.595399999999998</v>
      </c>
      <c r="P162" s="20">
        <v>79.053324200000006</v>
      </c>
      <c r="Q162" s="20">
        <v>129.6487242</v>
      </c>
    </row>
    <row r="163" spans="2:17" ht="37.5" x14ac:dyDescent="0.25">
      <c r="B163" s="51" t="s">
        <v>89</v>
      </c>
      <c r="C163" s="76" t="s">
        <v>375</v>
      </c>
      <c r="D163" s="20" t="s">
        <v>265</v>
      </c>
      <c r="E163" s="21">
        <v>2020</v>
      </c>
      <c r="F163" s="21">
        <v>2024</v>
      </c>
      <c r="G163" s="20" t="s">
        <v>131</v>
      </c>
      <c r="H163" s="20">
        <v>474.18824723999995</v>
      </c>
      <c r="I163" s="20">
        <v>42.678435757890512</v>
      </c>
      <c r="J163" s="20">
        <v>104.32141439279998</v>
      </c>
      <c r="K163" s="20">
        <v>308.22385421229052</v>
      </c>
      <c r="L163" s="20">
        <v>18.96454287701896</v>
      </c>
      <c r="M163" s="20" t="s">
        <v>131</v>
      </c>
      <c r="N163" s="20">
        <v>133.27324723999996</v>
      </c>
      <c r="O163" s="20">
        <v>52.860799999999998</v>
      </c>
      <c r="P163" s="20">
        <v>80.41244724000002</v>
      </c>
      <c r="Q163" s="20">
        <v>133.27324724000002</v>
      </c>
    </row>
    <row r="164" spans="2:17" ht="37.5" x14ac:dyDescent="0.25">
      <c r="B164" s="51" t="s">
        <v>89</v>
      </c>
      <c r="C164" s="76" t="s">
        <v>377</v>
      </c>
      <c r="D164" s="20" t="s">
        <v>267</v>
      </c>
      <c r="E164" s="21">
        <v>2020</v>
      </c>
      <c r="F164" s="21">
        <v>2024</v>
      </c>
      <c r="G164" s="20" t="s">
        <v>131</v>
      </c>
      <c r="H164" s="20">
        <v>389.32871218000003</v>
      </c>
      <c r="I164" s="20">
        <v>35.040148667998409</v>
      </c>
      <c r="J164" s="20">
        <v>85.651187536003178</v>
      </c>
      <c r="K164" s="20">
        <v>253.06366291699999</v>
      </c>
      <c r="L164" s="20">
        <v>15.573713058998406</v>
      </c>
      <c r="M164" s="20" t="s">
        <v>131</v>
      </c>
      <c r="N164" s="20">
        <v>180.92681218000007</v>
      </c>
      <c r="O164" s="20">
        <v>78.948900000000009</v>
      </c>
      <c r="P164" s="20">
        <v>101.97791218</v>
      </c>
      <c r="Q164" s="20">
        <v>180.92681218000001</v>
      </c>
    </row>
    <row r="165" spans="2:17" ht="60.75" customHeight="1" x14ac:dyDescent="0.25">
      <c r="B165" s="51" t="s">
        <v>89</v>
      </c>
      <c r="C165" s="76" t="s">
        <v>378</v>
      </c>
      <c r="D165" s="20" t="s">
        <v>268</v>
      </c>
      <c r="E165" s="21">
        <v>2020</v>
      </c>
      <c r="F165" s="21">
        <v>2024</v>
      </c>
      <c r="G165" s="20" t="s">
        <v>131</v>
      </c>
      <c r="H165" s="20">
        <v>678.70502206000003</v>
      </c>
      <c r="I165" s="20">
        <v>61.083451985399989</v>
      </c>
      <c r="J165" s="20">
        <v>149.31510485319998</v>
      </c>
      <c r="K165" s="20">
        <v>441.15826433899997</v>
      </c>
      <c r="L165" s="20">
        <v>27.148200882399998</v>
      </c>
      <c r="M165" s="20" t="s">
        <v>131</v>
      </c>
      <c r="N165" s="20">
        <v>401.76592206000009</v>
      </c>
      <c r="O165" s="20">
        <v>154.93863000000002</v>
      </c>
      <c r="P165" s="20">
        <v>246.82729205999999</v>
      </c>
      <c r="Q165" s="20">
        <v>401.76592205999998</v>
      </c>
    </row>
    <row r="166" spans="2:17" ht="56.25" x14ac:dyDescent="0.25">
      <c r="B166" s="51" t="s">
        <v>89</v>
      </c>
      <c r="C166" s="76" t="s">
        <v>380</v>
      </c>
      <c r="D166" s="20" t="s">
        <v>512</v>
      </c>
      <c r="E166" s="21">
        <v>2020</v>
      </c>
      <c r="F166" s="21">
        <v>2024</v>
      </c>
      <c r="G166" s="20" t="s">
        <v>131</v>
      </c>
      <c r="H166" s="20">
        <v>356.30782938999999</v>
      </c>
      <c r="I166" s="20">
        <v>32.067704645100001</v>
      </c>
      <c r="J166" s="20">
        <v>78.387722465799996</v>
      </c>
      <c r="K166" s="20">
        <v>231.60008910350001</v>
      </c>
      <c r="L166" s="20">
        <v>14.252313175599999</v>
      </c>
      <c r="M166" s="20" t="s">
        <v>131</v>
      </c>
      <c r="N166" s="20">
        <v>213.53212939000002</v>
      </c>
      <c r="O166" s="20">
        <v>97.662300000000002</v>
      </c>
      <c r="P166" s="20">
        <v>115.86982939000001</v>
      </c>
      <c r="Q166" s="20">
        <v>213.53212939000002</v>
      </c>
    </row>
    <row r="167" spans="2:17" ht="37.5" x14ac:dyDescent="0.25">
      <c r="B167" s="51" t="s">
        <v>89</v>
      </c>
      <c r="C167" s="76" t="s">
        <v>379</v>
      </c>
      <c r="D167" s="20" t="s">
        <v>269</v>
      </c>
      <c r="E167" s="21">
        <v>2020</v>
      </c>
      <c r="F167" s="21">
        <v>2024</v>
      </c>
      <c r="G167" s="20" t="s">
        <v>131</v>
      </c>
      <c r="H167" s="20">
        <v>562.52023199999996</v>
      </c>
      <c r="I167" s="20">
        <v>50.626309653084959</v>
      </c>
      <c r="J167" s="20">
        <v>123.75458278994905</v>
      </c>
      <c r="K167" s="20">
        <v>365.63858223469231</v>
      </c>
      <c r="L167" s="20">
        <v>22.500757322273607</v>
      </c>
      <c r="M167" s="20" t="s">
        <v>131</v>
      </c>
      <c r="N167" s="20">
        <v>165.67693199999997</v>
      </c>
      <c r="O167" s="20">
        <v>58.098599999999998</v>
      </c>
      <c r="P167" s="20">
        <v>107.57833199999999</v>
      </c>
      <c r="Q167" s="20">
        <v>165.67693199999999</v>
      </c>
    </row>
    <row r="168" spans="2:17" ht="76.5" customHeight="1" x14ac:dyDescent="0.25">
      <c r="B168" s="51" t="s">
        <v>89</v>
      </c>
      <c r="C168" s="76" t="s">
        <v>381</v>
      </c>
      <c r="D168" s="20" t="s">
        <v>270</v>
      </c>
      <c r="E168" s="21">
        <v>2020</v>
      </c>
      <c r="F168" s="21">
        <v>2024</v>
      </c>
      <c r="G168" s="20" t="s">
        <v>131</v>
      </c>
      <c r="H168" s="20">
        <v>848.4006950700001</v>
      </c>
      <c r="I168" s="20">
        <v>76.354839019099188</v>
      </c>
      <c r="J168" s="20">
        <v>186.65059998980175</v>
      </c>
      <c r="K168" s="20">
        <v>551.46045179550003</v>
      </c>
      <c r="L168" s="20">
        <v>33.934804265599162</v>
      </c>
      <c r="M168" s="20" t="s">
        <v>131</v>
      </c>
      <c r="N168" s="20">
        <v>365.01649507000013</v>
      </c>
      <c r="O168" s="20">
        <v>173.51490000000001</v>
      </c>
      <c r="P168" s="20">
        <v>191.50159507000001</v>
      </c>
      <c r="Q168" s="20">
        <v>365.01649507000002</v>
      </c>
    </row>
    <row r="169" spans="2:17" ht="37.5" x14ac:dyDescent="0.25">
      <c r="B169" s="51" t="s">
        <v>89</v>
      </c>
      <c r="C169" s="76" t="s">
        <v>382</v>
      </c>
      <c r="D169" s="20" t="s">
        <v>271</v>
      </c>
      <c r="E169" s="21">
        <v>2020</v>
      </c>
      <c r="F169" s="21">
        <v>2024</v>
      </c>
      <c r="G169" s="20" t="s">
        <v>131</v>
      </c>
      <c r="H169" s="20">
        <v>531.49035265999999</v>
      </c>
      <c r="I169" s="20">
        <v>47.833766428826998</v>
      </c>
      <c r="J169" s="20">
        <v>116.92860820634601</v>
      </c>
      <c r="K169" s="20">
        <v>345.46872922900002</v>
      </c>
      <c r="L169" s="20">
        <v>21.259248795826998</v>
      </c>
      <c r="M169" s="20" t="s">
        <v>131</v>
      </c>
      <c r="N169" s="20">
        <v>186.79435265999996</v>
      </c>
      <c r="O169" s="20">
        <v>87.875700000000009</v>
      </c>
      <c r="P169" s="20">
        <v>98.918652659999978</v>
      </c>
      <c r="Q169" s="20">
        <v>186.79435265999999</v>
      </c>
    </row>
    <row r="170" spans="2:17" ht="37.5" x14ac:dyDescent="0.25">
      <c r="B170" s="51" t="s">
        <v>91</v>
      </c>
      <c r="C170" s="189" t="s">
        <v>92</v>
      </c>
      <c r="D170" s="20" t="s">
        <v>129</v>
      </c>
      <c r="E170" s="21" t="s">
        <v>131</v>
      </c>
      <c r="F170" s="21" t="s">
        <v>131</v>
      </c>
      <c r="G170" s="20" t="s">
        <v>131</v>
      </c>
      <c r="H170" s="20">
        <v>0.62457019068812303</v>
      </c>
      <c r="I170" s="20">
        <v>5.6083853857709004E-2</v>
      </c>
      <c r="J170" s="20">
        <v>0.13766036855983121</v>
      </c>
      <c r="K170" s="20">
        <v>0.40660794046839033</v>
      </c>
      <c r="L170" s="20">
        <v>2.4218027802192527E-2</v>
      </c>
      <c r="M170" s="20" t="s">
        <v>131</v>
      </c>
      <c r="N170" s="20">
        <v>-3.3306690738754696E-16</v>
      </c>
      <c r="O170" s="20">
        <v>0</v>
      </c>
      <c r="P170" s="20">
        <v>0</v>
      </c>
      <c r="Q170" s="20">
        <v>0</v>
      </c>
    </row>
    <row r="171" spans="2:17" ht="55.5" customHeight="1" x14ac:dyDescent="0.25">
      <c r="B171" s="51" t="s">
        <v>91</v>
      </c>
      <c r="C171" s="79" t="s">
        <v>383</v>
      </c>
      <c r="D171" s="20" t="s">
        <v>272</v>
      </c>
      <c r="E171" s="21">
        <v>2020</v>
      </c>
      <c r="F171" s="21">
        <v>2020</v>
      </c>
      <c r="G171" s="20" t="s">
        <v>131</v>
      </c>
      <c r="H171" s="20">
        <v>0.62457019068812303</v>
      </c>
      <c r="I171" s="20">
        <v>5.6083853857709004E-2</v>
      </c>
      <c r="J171" s="20">
        <v>0.13766036855983121</v>
      </c>
      <c r="K171" s="20">
        <v>0.40660794046839033</v>
      </c>
      <c r="L171" s="20">
        <v>2.4218027802192527E-2</v>
      </c>
      <c r="M171" s="20" t="s">
        <v>131</v>
      </c>
      <c r="N171" s="20">
        <v>-3.3306690738754696E-16</v>
      </c>
      <c r="O171" s="20">
        <v>0</v>
      </c>
      <c r="P171" s="20">
        <v>0</v>
      </c>
      <c r="Q171" s="20">
        <v>0</v>
      </c>
    </row>
    <row r="172" spans="2:17" ht="37.5" x14ac:dyDescent="0.25">
      <c r="B172" s="51" t="s">
        <v>93</v>
      </c>
      <c r="C172" s="189" t="s">
        <v>94</v>
      </c>
      <c r="D172" s="20" t="s">
        <v>129</v>
      </c>
      <c r="E172" s="21" t="s">
        <v>131</v>
      </c>
      <c r="F172" s="21" t="s">
        <v>131</v>
      </c>
      <c r="G172" s="20" t="s">
        <v>131</v>
      </c>
      <c r="H172" s="20">
        <v>3.5282737087995701</v>
      </c>
      <c r="I172" s="20">
        <v>0.31762537232076682</v>
      </c>
      <c r="J172" s="20">
        <v>0.77622021593590551</v>
      </c>
      <c r="K172" s="20">
        <v>2.2934586492485258</v>
      </c>
      <c r="L172" s="20">
        <v>0.14096947129437187</v>
      </c>
      <c r="M172" s="20" t="s">
        <v>131</v>
      </c>
      <c r="N172" s="20">
        <v>0</v>
      </c>
      <c r="O172" s="20">
        <v>0</v>
      </c>
      <c r="P172" s="20">
        <v>0</v>
      </c>
      <c r="Q172" s="20">
        <v>0</v>
      </c>
    </row>
    <row r="173" spans="2:17" ht="37.5" x14ac:dyDescent="0.25">
      <c r="B173" s="51" t="s">
        <v>93</v>
      </c>
      <c r="C173" s="76" t="s">
        <v>183</v>
      </c>
      <c r="D173" s="20" t="s">
        <v>273</v>
      </c>
      <c r="E173" s="21">
        <v>2020</v>
      </c>
      <c r="F173" s="21">
        <v>2020</v>
      </c>
      <c r="G173" s="20" t="s">
        <v>131</v>
      </c>
      <c r="H173" s="20">
        <v>3.5282737087995701</v>
      </c>
      <c r="I173" s="20">
        <v>0.31762537232076682</v>
      </c>
      <c r="J173" s="20">
        <v>0.77622021593590551</v>
      </c>
      <c r="K173" s="20">
        <v>2.2934586492485258</v>
      </c>
      <c r="L173" s="20">
        <v>0.14096947129437187</v>
      </c>
      <c r="M173" s="20" t="s">
        <v>131</v>
      </c>
      <c r="N173" s="20">
        <v>0</v>
      </c>
      <c r="O173" s="20">
        <v>0</v>
      </c>
      <c r="P173" s="20">
        <v>0</v>
      </c>
      <c r="Q173" s="20">
        <v>0</v>
      </c>
    </row>
    <row r="174" spans="2:17" ht="66" customHeight="1" x14ac:dyDescent="0.25">
      <c r="B174" s="51" t="s">
        <v>95</v>
      </c>
      <c r="C174" s="189" t="s">
        <v>96</v>
      </c>
      <c r="D174" s="20" t="s">
        <v>129</v>
      </c>
      <c r="E174" s="21" t="s">
        <v>131</v>
      </c>
      <c r="F174" s="21" t="s">
        <v>131</v>
      </c>
      <c r="G174" s="20" t="s">
        <v>131</v>
      </c>
      <c r="H174" s="20">
        <v>8.3166451707418538</v>
      </c>
      <c r="I174" s="20">
        <v>0.74846518025339892</v>
      </c>
      <c r="J174" s="20">
        <v>1.8297277077899436</v>
      </c>
      <c r="K174" s="20">
        <v>5.4059837865490445</v>
      </c>
      <c r="L174" s="20">
        <v>0.33246849614946672</v>
      </c>
      <c r="M174" s="20" t="s">
        <v>131</v>
      </c>
      <c r="N174" s="20">
        <v>0</v>
      </c>
      <c r="O174" s="20">
        <v>0</v>
      </c>
      <c r="P174" s="20">
        <v>0</v>
      </c>
      <c r="Q174" s="20">
        <v>0</v>
      </c>
    </row>
    <row r="175" spans="2:17" ht="47.25" customHeight="1" x14ac:dyDescent="0.25">
      <c r="B175" s="51" t="s">
        <v>95</v>
      </c>
      <c r="C175" s="76" t="s">
        <v>184</v>
      </c>
      <c r="D175" s="20" t="s">
        <v>274</v>
      </c>
      <c r="E175" s="21">
        <v>2020</v>
      </c>
      <c r="F175" s="21">
        <v>2020</v>
      </c>
      <c r="G175" s="20" t="s">
        <v>131</v>
      </c>
      <c r="H175" s="20">
        <v>8.3166451707418538</v>
      </c>
      <c r="I175" s="20">
        <v>0.74846518025339892</v>
      </c>
      <c r="J175" s="20">
        <v>1.8297277077899436</v>
      </c>
      <c r="K175" s="20">
        <v>5.4059837865490445</v>
      </c>
      <c r="L175" s="20">
        <v>0.33246849614946672</v>
      </c>
      <c r="M175" s="20" t="s">
        <v>131</v>
      </c>
      <c r="N175" s="20">
        <v>0</v>
      </c>
      <c r="O175" s="20">
        <v>0</v>
      </c>
      <c r="P175" s="20">
        <v>0</v>
      </c>
      <c r="Q175" s="20">
        <v>0</v>
      </c>
    </row>
    <row r="176" spans="2:17" ht="68.25" customHeight="1" x14ac:dyDescent="0.25">
      <c r="B176" s="49" t="s">
        <v>97</v>
      </c>
      <c r="C176" s="50" t="s">
        <v>98</v>
      </c>
      <c r="D176" s="187" t="s">
        <v>129</v>
      </c>
      <c r="E176" s="188" t="s">
        <v>131</v>
      </c>
      <c r="F176" s="188" t="s">
        <v>131</v>
      </c>
      <c r="G176" s="187" t="s">
        <v>131</v>
      </c>
      <c r="H176" s="187">
        <v>1021.2727777</v>
      </c>
      <c r="I176" s="187">
        <v>88.790727048821651</v>
      </c>
      <c r="J176" s="187">
        <v>270.120047304948</v>
      </c>
      <c r="K176" s="187">
        <v>620.08792599492881</v>
      </c>
      <c r="L176" s="187">
        <v>40.724077351301553</v>
      </c>
      <c r="M176" s="187" t="s">
        <v>131</v>
      </c>
      <c r="N176" s="187">
        <v>491.77637770000001</v>
      </c>
      <c r="O176" s="187">
        <v>161.00737770000001</v>
      </c>
      <c r="P176" s="187">
        <v>330.76900000000001</v>
      </c>
      <c r="Q176" s="187">
        <v>491.77637770000001</v>
      </c>
    </row>
    <row r="177" spans="2:17" ht="18.75" x14ac:dyDescent="0.25">
      <c r="B177" s="51" t="s">
        <v>99</v>
      </c>
      <c r="C177" s="189" t="s">
        <v>100</v>
      </c>
      <c r="D177" s="20" t="s">
        <v>129</v>
      </c>
      <c r="E177" s="21" t="s">
        <v>131</v>
      </c>
      <c r="F177" s="21" t="s">
        <v>131</v>
      </c>
      <c r="G177" s="20" t="s">
        <v>131</v>
      </c>
      <c r="H177" s="20">
        <v>88.5</v>
      </c>
      <c r="I177" s="20">
        <v>4.9800000000000004</v>
      </c>
      <c r="J177" s="20">
        <v>65.25</v>
      </c>
      <c r="K177" s="20">
        <v>14.790000000000001</v>
      </c>
      <c r="L177" s="20">
        <v>3.48</v>
      </c>
      <c r="M177" s="20">
        <v>0</v>
      </c>
      <c r="N177" s="20">
        <v>88.5</v>
      </c>
      <c r="O177" s="20">
        <v>0</v>
      </c>
      <c r="P177" s="20">
        <v>88.5</v>
      </c>
      <c r="Q177" s="20">
        <v>88.5</v>
      </c>
    </row>
    <row r="178" spans="2:17" ht="37.5" x14ac:dyDescent="0.25">
      <c r="B178" s="51" t="s">
        <v>99</v>
      </c>
      <c r="C178" s="76" t="s">
        <v>650</v>
      </c>
      <c r="D178" s="20" t="s">
        <v>277</v>
      </c>
      <c r="E178" s="21">
        <v>2024</v>
      </c>
      <c r="F178" s="21">
        <v>2024</v>
      </c>
      <c r="G178" s="20" t="s">
        <v>131</v>
      </c>
      <c r="H178" s="20">
        <v>1.5</v>
      </c>
      <c r="I178" s="20">
        <v>1.5</v>
      </c>
      <c r="J178" s="20">
        <v>0</v>
      </c>
      <c r="K178" s="20">
        <v>0</v>
      </c>
      <c r="L178" s="20">
        <v>0</v>
      </c>
      <c r="M178" s="20" t="s">
        <v>131</v>
      </c>
      <c r="N178" s="20">
        <v>1.5</v>
      </c>
      <c r="O178" s="20">
        <v>0</v>
      </c>
      <c r="P178" s="20">
        <v>1.5</v>
      </c>
      <c r="Q178" s="20">
        <v>1.5</v>
      </c>
    </row>
    <row r="179" spans="2:17" ht="37.5" x14ac:dyDescent="0.25">
      <c r="B179" s="51" t="s">
        <v>99</v>
      </c>
      <c r="C179" s="76" t="s">
        <v>465</v>
      </c>
      <c r="D179" s="20" t="s">
        <v>278</v>
      </c>
      <c r="E179" s="21">
        <v>2024</v>
      </c>
      <c r="F179" s="21">
        <v>2024</v>
      </c>
      <c r="G179" s="20" t="s">
        <v>131</v>
      </c>
      <c r="H179" s="20">
        <v>87</v>
      </c>
      <c r="I179" s="20">
        <v>3.48</v>
      </c>
      <c r="J179" s="20">
        <v>65.25</v>
      </c>
      <c r="K179" s="20">
        <v>14.790000000000001</v>
      </c>
      <c r="L179" s="20">
        <v>3.48</v>
      </c>
      <c r="M179" s="20" t="s">
        <v>131</v>
      </c>
      <c r="N179" s="20">
        <v>87</v>
      </c>
      <c r="O179" s="20">
        <v>0</v>
      </c>
      <c r="P179" s="20">
        <v>87</v>
      </c>
      <c r="Q179" s="20">
        <v>87</v>
      </c>
    </row>
    <row r="180" spans="2:17" ht="56.25" x14ac:dyDescent="0.25">
      <c r="B180" s="51" t="s">
        <v>99</v>
      </c>
      <c r="C180" s="76" t="s">
        <v>593</v>
      </c>
      <c r="D180" s="20" t="s">
        <v>275</v>
      </c>
      <c r="E180" s="21" t="s">
        <v>131</v>
      </c>
      <c r="F180" s="21" t="s">
        <v>131</v>
      </c>
      <c r="G180" s="20" t="s">
        <v>131</v>
      </c>
      <c r="H180" s="20">
        <v>0</v>
      </c>
      <c r="I180" s="20">
        <v>0</v>
      </c>
      <c r="J180" s="20">
        <v>0</v>
      </c>
      <c r="K180" s="20">
        <v>0</v>
      </c>
      <c r="L180" s="20">
        <v>0</v>
      </c>
      <c r="M180" s="20" t="s">
        <v>131</v>
      </c>
      <c r="N180" s="20">
        <v>0</v>
      </c>
      <c r="O180" s="20">
        <v>0</v>
      </c>
      <c r="P180" s="20">
        <v>0</v>
      </c>
      <c r="Q180" s="20">
        <v>0</v>
      </c>
    </row>
    <row r="181" spans="2:17" ht="56.25" x14ac:dyDescent="0.25">
      <c r="B181" s="51" t="s">
        <v>99</v>
      </c>
      <c r="C181" s="76" t="s">
        <v>463</v>
      </c>
      <c r="D181" s="20" t="s">
        <v>276</v>
      </c>
      <c r="E181" s="21" t="s">
        <v>131</v>
      </c>
      <c r="F181" s="21" t="s">
        <v>131</v>
      </c>
      <c r="G181" s="20" t="s">
        <v>131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  <c r="M181" s="20" t="s">
        <v>131</v>
      </c>
      <c r="N181" s="20">
        <v>0</v>
      </c>
      <c r="O181" s="20">
        <v>0</v>
      </c>
      <c r="P181" s="20">
        <v>0</v>
      </c>
      <c r="Q181" s="20">
        <v>0</v>
      </c>
    </row>
    <row r="182" spans="2:17" ht="37.5" x14ac:dyDescent="0.25">
      <c r="B182" s="51" t="s">
        <v>99</v>
      </c>
      <c r="C182" s="76" t="s">
        <v>466</v>
      </c>
      <c r="D182" s="20" t="s">
        <v>279</v>
      </c>
      <c r="E182" s="21" t="s">
        <v>131</v>
      </c>
      <c r="F182" s="21" t="s">
        <v>131</v>
      </c>
      <c r="G182" s="20" t="s">
        <v>131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0" t="s">
        <v>131</v>
      </c>
      <c r="N182" s="20">
        <v>0</v>
      </c>
      <c r="O182" s="20">
        <v>0</v>
      </c>
      <c r="P182" s="20">
        <v>0</v>
      </c>
      <c r="Q182" s="20">
        <v>0</v>
      </c>
    </row>
    <row r="183" spans="2:17" ht="37.5" x14ac:dyDescent="0.25">
      <c r="B183" s="51" t="s">
        <v>101</v>
      </c>
      <c r="C183" s="189" t="s">
        <v>102</v>
      </c>
      <c r="D183" s="20" t="s">
        <v>129</v>
      </c>
      <c r="E183" s="21" t="s">
        <v>131</v>
      </c>
      <c r="F183" s="21" t="s">
        <v>131</v>
      </c>
      <c r="G183" s="20" t="s">
        <v>131</v>
      </c>
      <c r="H183" s="20">
        <v>932.77277770000001</v>
      </c>
      <c r="I183" s="20">
        <v>83.810727048821647</v>
      </c>
      <c r="J183" s="20">
        <v>204.870047304948</v>
      </c>
      <c r="K183" s="20">
        <v>605.29792599492885</v>
      </c>
      <c r="L183" s="20">
        <v>37.244077351301556</v>
      </c>
      <c r="M183" s="20" t="s">
        <v>131</v>
      </c>
      <c r="N183" s="20">
        <v>403.27637770000001</v>
      </c>
      <c r="O183" s="20">
        <v>161.00737770000001</v>
      </c>
      <c r="P183" s="20">
        <v>242.26900000000001</v>
      </c>
      <c r="Q183" s="20">
        <v>403.27637770000001</v>
      </c>
    </row>
    <row r="184" spans="2:17" ht="56.25" x14ac:dyDescent="0.25">
      <c r="B184" s="51" t="s">
        <v>101</v>
      </c>
      <c r="C184" s="76" t="s">
        <v>384</v>
      </c>
      <c r="D184" s="20" t="s">
        <v>280</v>
      </c>
      <c r="E184" s="21">
        <v>2020</v>
      </c>
      <c r="F184" s="21">
        <v>2021</v>
      </c>
      <c r="G184" s="20" t="s">
        <v>131</v>
      </c>
      <c r="H184" s="20">
        <v>47.268900000000002</v>
      </c>
      <c r="I184" s="20">
        <v>4.25395338920901</v>
      </c>
      <c r="J184" s="20">
        <v>10.399034194604504</v>
      </c>
      <c r="K184" s="20">
        <v>30.724785000000001</v>
      </c>
      <c r="L184" s="20">
        <v>1.8911274161864855</v>
      </c>
      <c r="M184" s="20" t="s">
        <v>131</v>
      </c>
      <c r="N184" s="20">
        <v>1.7763568394002505E-15</v>
      </c>
      <c r="O184" s="20">
        <v>0</v>
      </c>
      <c r="P184" s="20">
        <v>0</v>
      </c>
      <c r="Q184" s="20">
        <v>0</v>
      </c>
    </row>
    <row r="185" spans="2:17" ht="37.5" x14ac:dyDescent="0.25">
      <c r="B185" s="51" t="s">
        <v>101</v>
      </c>
      <c r="C185" s="76" t="s">
        <v>385</v>
      </c>
      <c r="D185" s="20" t="s">
        <v>281</v>
      </c>
      <c r="E185" s="21">
        <v>2020</v>
      </c>
      <c r="F185" s="21">
        <v>2023</v>
      </c>
      <c r="G185" s="20" t="s">
        <v>131</v>
      </c>
      <c r="H185" s="20">
        <v>5.1452</v>
      </c>
      <c r="I185" s="20">
        <v>0.46305480379584507</v>
      </c>
      <c r="J185" s="20">
        <v>1.1319703924083098</v>
      </c>
      <c r="K185" s="20">
        <v>3.3444459810207743</v>
      </c>
      <c r="L185" s="20">
        <v>0.20572882277507051</v>
      </c>
      <c r="M185" s="20" t="s">
        <v>131</v>
      </c>
      <c r="N185" s="20">
        <v>1.31</v>
      </c>
      <c r="O185" s="20">
        <v>1.31</v>
      </c>
      <c r="P185" s="20">
        <v>0</v>
      </c>
      <c r="Q185" s="20">
        <v>1.31</v>
      </c>
    </row>
    <row r="186" spans="2:17" ht="56.25" x14ac:dyDescent="0.25">
      <c r="B186" s="51" t="s">
        <v>101</v>
      </c>
      <c r="C186" s="76" t="s">
        <v>386</v>
      </c>
      <c r="D186" s="20" t="s">
        <v>282</v>
      </c>
      <c r="E186" s="21">
        <v>2020</v>
      </c>
      <c r="F186" s="21">
        <v>2021</v>
      </c>
      <c r="G186" s="20" t="s">
        <v>131</v>
      </c>
      <c r="H186" s="20">
        <v>25.971000000000004</v>
      </c>
      <c r="I186" s="20">
        <v>2.3376216770740412</v>
      </c>
      <c r="J186" s="20">
        <v>5.7137358385370218</v>
      </c>
      <c r="K186" s="20">
        <v>16.881150000000002</v>
      </c>
      <c r="L186" s="20">
        <v>1.0384924843889387</v>
      </c>
      <c r="M186" s="20" t="s">
        <v>131</v>
      </c>
      <c r="N186" s="20">
        <v>0</v>
      </c>
      <c r="O186" s="20">
        <v>0</v>
      </c>
      <c r="P186" s="20">
        <v>0</v>
      </c>
      <c r="Q186" s="20">
        <v>0</v>
      </c>
    </row>
    <row r="187" spans="2:17" ht="56.25" x14ac:dyDescent="0.25">
      <c r="B187" s="51" t="s">
        <v>101</v>
      </c>
      <c r="C187" s="76" t="s">
        <v>387</v>
      </c>
      <c r="D187" s="20" t="s">
        <v>283</v>
      </c>
      <c r="E187" s="21">
        <v>2023</v>
      </c>
      <c r="F187" s="21">
        <v>2024</v>
      </c>
      <c r="G187" s="20" t="s">
        <v>131</v>
      </c>
      <c r="H187" s="20">
        <v>1.55</v>
      </c>
      <c r="I187" s="20">
        <v>0</v>
      </c>
      <c r="J187" s="20">
        <v>0</v>
      </c>
      <c r="K187" s="20">
        <v>0</v>
      </c>
      <c r="L187" s="20">
        <v>0</v>
      </c>
      <c r="M187" s="20" t="s">
        <v>131</v>
      </c>
      <c r="N187" s="20">
        <v>1.55</v>
      </c>
      <c r="O187" s="20">
        <v>1.55</v>
      </c>
      <c r="P187" s="20">
        <v>0</v>
      </c>
      <c r="Q187" s="20">
        <v>1.55</v>
      </c>
    </row>
    <row r="188" spans="2:17" ht="56.25" x14ac:dyDescent="0.25">
      <c r="B188" s="51" t="s">
        <v>101</v>
      </c>
      <c r="C188" s="76" t="s">
        <v>388</v>
      </c>
      <c r="D188" s="20" t="s">
        <v>284</v>
      </c>
      <c r="E188" s="21">
        <v>2020</v>
      </c>
      <c r="F188" s="21">
        <v>2024</v>
      </c>
      <c r="G188" s="20" t="s">
        <v>131</v>
      </c>
      <c r="H188" s="20">
        <v>128.05630000000002</v>
      </c>
      <c r="I188" s="20">
        <v>11.525067000000004</v>
      </c>
      <c r="J188" s="20">
        <v>28.172386000000007</v>
      </c>
      <c r="K188" s="20">
        <v>83.236595000000023</v>
      </c>
      <c r="L188" s="20">
        <v>5.1222520000000014</v>
      </c>
      <c r="M188" s="20" t="s">
        <v>131</v>
      </c>
      <c r="N188" s="20">
        <v>80.15000000000002</v>
      </c>
      <c r="O188" s="20">
        <v>33.340000000000003</v>
      </c>
      <c r="P188" s="20">
        <v>46.81</v>
      </c>
      <c r="Q188" s="20">
        <v>80.150000000000006</v>
      </c>
    </row>
    <row r="189" spans="2:17" ht="56.25" x14ac:dyDescent="0.25">
      <c r="B189" s="51" t="s">
        <v>101</v>
      </c>
      <c r="C189" s="76" t="s">
        <v>389</v>
      </c>
      <c r="D189" s="20" t="s">
        <v>285</v>
      </c>
      <c r="E189" s="21">
        <v>2020</v>
      </c>
      <c r="F189" s="21">
        <v>2021</v>
      </c>
      <c r="G189" s="20" t="s">
        <v>131</v>
      </c>
      <c r="H189" s="20">
        <v>44.525500000000008</v>
      </c>
      <c r="I189" s="20">
        <v>4.0072950000000009</v>
      </c>
      <c r="J189" s="20">
        <v>9.7956099999999999</v>
      </c>
      <c r="K189" s="20">
        <v>28.941575000000007</v>
      </c>
      <c r="L189" s="20">
        <v>1.78102</v>
      </c>
      <c r="M189" s="20" t="s">
        <v>131</v>
      </c>
      <c r="N189" s="20">
        <v>3.5527136788005009E-15</v>
      </c>
      <c r="O189" s="20">
        <v>0</v>
      </c>
      <c r="P189" s="20">
        <v>0</v>
      </c>
      <c r="Q189" s="20">
        <v>0</v>
      </c>
    </row>
    <row r="190" spans="2:17" ht="56.25" x14ac:dyDescent="0.25">
      <c r="B190" s="51" t="s">
        <v>101</v>
      </c>
      <c r="C190" s="76" t="s">
        <v>390</v>
      </c>
      <c r="D190" s="20" t="s">
        <v>286</v>
      </c>
      <c r="E190" s="21">
        <v>2020</v>
      </c>
      <c r="F190" s="21">
        <v>2020</v>
      </c>
      <c r="G190" s="20" t="s">
        <v>131</v>
      </c>
      <c r="H190" s="20">
        <v>4.4198999999999993</v>
      </c>
      <c r="I190" s="20">
        <v>0.39771399825783965</v>
      </c>
      <c r="J190" s="20">
        <v>0.97233949912891982</v>
      </c>
      <c r="K190" s="20">
        <v>2.8729349999999991</v>
      </c>
      <c r="L190" s="20">
        <v>0.1769115026132404</v>
      </c>
      <c r="M190" s="20" t="s">
        <v>131</v>
      </c>
      <c r="N190" s="20">
        <v>0</v>
      </c>
      <c r="O190" s="20">
        <v>0</v>
      </c>
      <c r="P190" s="20">
        <v>0</v>
      </c>
      <c r="Q190" s="20">
        <v>0</v>
      </c>
    </row>
    <row r="191" spans="2:17" ht="56.25" x14ac:dyDescent="0.25">
      <c r="B191" s="51" t="s">
        <v>101</v>
      </c>
      <c r="C191" s="76" t="s">
        <v>391</v>
      </c>
      <c r="D191" s="20" t="s">
        <v>287</v>
      </c>
      <c r="E191" s="21">
        <v>2020</v>
      </c>
      <c r="F191" s="21">
        <v>2021</v>
      </c>
      <c r="G191" s="20" t="s">
        <v>131</v>
      </c>
      <c r="H191" s="20">
        <v>12.850700000000002</v>
      </c>
      <c r="I191" s="20">
        <v>1.1567904460176994</v>
      </c>
      <c r="J191" s="20">
        <v>2.8271540000000002</v>
      </c>
      <c r="K191" s="20">
        <v>8.3531824460176995</v>
      </c>
      <c r="L191" s="20">
        <v>0.51357310796460187</v>
      </c>
      <c r="M191" s="20" t="s">
        <v>131</v>
      </c>
      <c r="N191" s="20">
        <v>0</v>
      </c>
      <c r="O191" s="20">
        <v>0</v>
      </c>
      <c r="P191" s="20">
        <v>0</v>
      </c>
      <c r="Q191" s="20">
        <v>0</v>
      </c>
    </row>
    <row r="192" spans="2:17" ht="56.25" x14ac:dyDescent="0.25">
      <c r="B192" s="51" t="s">
        <v>101</v>
      </c>
      <c r="C192" s="76" t="s">
        <v>393</v>
      </c>
      <c r="D192" s="20" t="s">
        <v>289</v>
      </c>
      <c r="E192" s="21">
        <v>2020</v>
      </c>
      <c r="F192" s="21">
        <v>2024</v>
      </c>
      <c r="G192" s="20" t="s">
        <v>131</v>
      </c>
      <c r="H192" s="20">
        <v>50.444187700000001</v>
      </c>
      <c r="I192" s="20">
        <v>4.5403469157158574</v>
      </c>
      <c r="J192" s="20">
        <v>11.097317632855427</v>
      </c>
      <c r="K192" s="20">
        <v>32.789058389287142</v>
      </c>
      <c r="L192" s="20">
        <v>2.0174647621415711</v>
      </c>
      <c r="M192" s="20" t="s">
        <v>131</v>
      </c>
      <c r="N192" s="20">
        <v>28.276387700000004</v>
      </c>
      <c r="O192" s="20">
        <v>13.952387699999999</v>
      </c>
      <c r="P192" s="20">
        <v>14.324</v>
      </c>
      <c r="Q192" s="20">
        <v>28.276387700000001</v>
      </c>
    </row>
    <row r="193" spans="2:17" ht="56.25" x14ac:dyDescent="0.25">
      <c r="B193" s="51" t="s">
        <v>101</v>
      </c>
      <c r="C193" s="76" t="s">
        <v>395</v>
      </c>
      <c r="D193" s="20" t="s">
        <v>291</v>
      </c>
      <c r="E193" s="21">
        <v>2020</v>
      </c>
      <c r="F193" s="21">
        <v>2023</v>
      </c>
      <c r="G193" s="20" t="s">
        <v>131</v>
      </c>
      <c r="H193" s="20">
        <v>83.25800000000001</v>
      </c>
      <c r="I193" s="20">
        <v>7.4934859150431183</v>
      </c>
      <c r="J193" s="20">
        <v>18.31689295752156</v>
      </c>
      <c r="K193" s="20">
        <v>54.117700000000006</v>
      </c>
      <c r="L193" s="20">
        <v>3.3299211274353246</v>
      </c>
      <c r="M193" s="20" t="s">
        <v>131</v>
      </c>
      <c r="N193" s="20">
        <v>33.738500000000002</v>
      </c>
      <c r="O193" s="20">
        <v>33.738500000000002</v>
      </c>
      <c r="P193" s="20">
        <v>0</v>
      </c>
      <c r="Q193" s="20">
        <v>33.738500000000002</v>
      </c>
    </row>
    <row r="194" spans="2:17" ht="56.25" x14ac:dyDescent="0.25">
      <c r="B194" s="51" t="s">
        <v>101</v>
      </c>
      <c r="C194" s="76" t="s">
        <v>394</v>
      </c>
      <c r="D194" s="20" t="s">
        <v>290</v>
      </c>
      <c r="E194" s="21">
        <v>2020</v>
      </c>
      <c r="F194" s="21">
        <v>2024</v>
      </c>
      <c r="G194" s="20" t="s">
        <v>131</v>
      </c>
      <c r="H194" s="20">
        <v>37.491599999999998</v>
      </c>
      <c r="I194" s="20">
        <v>3.374345246556846</v>
      </c>
      <c r="J194" s="20">
        <v>8.2487594793410732</v>
      </c>
      <c r="K194" s="20">
        <v>24.370856205238997</v>
      </c>
      <c r="L194" s="20">
        <v>1.4976390688630841</v>
      </c>
      <c r="M194" s="20" t="s">
        <v>131</v>
      </c>
      <c r="N194" s="20">
        <v>12.399999999999995</v>
      </c>
      <c r="O194" s="20">
        <v>0</v>
      </c>
      <c r="P194" s="20">
        <v>12.4</v>
      </c>
      <c r="Q194" s="20">
        <v>12.4</v>
      </c>
    </row>
    <row r="195" spans="2:17" ht="56.25" x14ac:dyDescent="0.25">
      <c r="B195" s="51" t="s">
        <v>101</v>
      </c>
      <c r="C195" s="76" t="s">
        <v>396</v>
      </c>
      <c r="D195" s="20" t="s">
        <v>292</v>
      </c>
      <c r="E195" s="21">
        <v>2020</v>
      </c>
      <c r="F195" s="21">
        <v>2024</v>
      </c>
      <c r="G195" s="20" t="s">
        <v>131</v>
      </c>
      <c r="H195" s="20">
        <v>176.4983</v>
      </c>
      <c r="I195" s="20">
        <v>15.884379330948601</v>
      </c>
      <c r="J195" s="20">
        <v>38.830561338102811</v>
      </c>
      <c r="K195" s="20">
        <v>114.723895</v>
      </c>
      <c r="L195" s="20">
        <v>7.0594643309485976</v>
      </c>
      <c r="M195" s="20" t="s">
        <v>131</v>
      </c>
      <c r="N195" s="20">
        <v>109.89210000000001</v>
      </c>
      <c r="O195" s="20">
        <v>34.6661</v>
      </c>
      <c r="P195" s="20">
        <v>75.225999999999999</v>
      </c>
      <c r="Q195" s="20">
        <v>109.8921</v>
      </c>
    </row>
    <row r="196" spans="2:17" ht="56.25" x14ac:dyDescent="0.25">
      <c r="B196" s="51" t="s">
        <v>101</v>
      </c>
      <c r="C196" s="76" t="s">
        <v>397</v>
      </c>
      <c r="D196" s="20" t="s">
        <v>293</v>
      </c>
      <c r="E196" s="21">
        <v>2020</v>
      </c>
      <c r="F196" s="21">
        <v>2024</v>
      </c>
      <c r="G196" s="20" t="s">
        <v>131</v>
      </c>
      <c r="H196" s="20">
        <v>49.1113</v>
      </c>
      <c r="I196" s="20">
        <v>4.4201171045658363</v>
      </c>
      <c r="J196" s="20">
        <v>10.804285790868324</v>
      </c>
      <c r="K196" s="20">
        <v>31.922344999999996</v>
      </c>
      <c r="L196" s="20">
        <v>1.9645521045658376</v>
      </c>
      <c r="M196" s="20" t="s">
        <v>131</v>
      </c>
      <c r="N196" s="20">
        <v>8.041999999999998</v>
      </c>
      <c r="O196" s="20">
        <v>0.46</v>
      </c>
      <c r="P196" s="20">
        <v>7.5819999999999999</v>
      </c>
      <c r="Q196" s="20">
        <v>8.0419999999999998</v>
      </c>
    </row>
    <row r="197" spans="2:17" ht="56.25" x14ac:dyDescent="0.25">
      <c r="B197" s="51" t="s">
        <v>101</v>
      </c>
      <c r="C197" s="76" t="s">
        <v>399</v>
      </c>
      <c r="D197" s="20" t="s">
        <v>295</v>
      </c>
      <c r="E197" s="21">
        <v>2020</v>
      </c>
      <c r="F197" s="21">
        <v>2024</v>
      </c>
      <c r="G197" s="20" t="s">
        <v>131</v>
      </c>
      <c r="H197" s="20">
        <v>47.838489999999993</v>
      </c>
      <c r="I197" s="20">
        <v>4.3054640999999991</v>
      </c>
      <c r="J197" s="20">
        <v>10.524467799999998</v>
      </c>
      <c r="K197" s="20">
        <v>31.095018499999995</v>
      </c>
      <c r="L197" s="20">
        <v>1.9135395999999998</v>
      </c>
      <c r="M197" s="20" t="s">
        <v>131</v>
      </c>
      <c r="N197" s="20">
        <v>38.413989999999991</v>
      </c>
      <c r="O197" s="20">
        <v>20.280989999999999</v>
      </c>
      <c r="P197" s="20">
        <v>18.132999999999999</v>
      </c>
      <c r="Q197" s="20">
        <v>38.413989999999998</v>
      </c>
    </row>
    <row r="198" spans="2:17" ht="56.25" customHeight="1" x14ac:dyDescent="0.25">
      <c r="B198" s="51" t="s">
        <v>101</v>
      </c>
      <c r="C198" s="76" t="s">
        <v>398</v>
      </c>
      <c r="D198" s="20" t="s">
        <v>294</v>
      </c>
      <c r="E198" s="21">
        <v>2020</v>
      </c>
      <c r="F198" s="21">
        <v>2024</v>
      </c>
      <c r="G198" s="20" t="s">
        <v>131</v>
      </c>
      <c r="H198" s="20">
        <v>62.8369</v>
      </c>
      <c r="I198" s="20">
        <v>5.6559973928955865</v>
      </c>
      <c r="J198" s="20">
        <v>13.824117999999999</v>
      </c>
      <c r="K198" s="20">
        <v>40.844661392895588</v>
      </c>
      <c r="L198" s="20">
        <v>2.512123214208827</v>
      </c>
      <c r="M198" s="20" t="s">
        <v>131</v>
      </c>
      <c r="N198" s="20">
        <v>32.974600000000002</v>
      </c>
      <c r="O198" s="20">
        <v>4.7606000000000002</v>
      </c>
      <c r="P198" s="20">
        <v>28.213999999999999</v>
      </c>
      <c r="Q198" s="20">
        <v>32.974599999999995</v>
      </c>
    </row>
    <row r="199" spans="2:17" ht="60" customHeight="1" x14ac:dyDescent="0.25">
      <c r="B199" s="51" t="s">
        <v>101</v>
      </c>
      <c r="C199" s="76" t="s">
        <v>400</v>
      </c>
      <c r="D199" s="20" t="s">
        <v>296</v>
      </c>
      <c r="E199" s="21">
        <v>2020</v>
      </c>
      <c r="F199" s="21">
        <v>2024</v>
      </c>
      <c r="G199" s="20" t="s">
        <v>131</v>
      </c>
      <c r="H199" s="20">
        <v>51.870100000000008</v>
      </c>
      <c r="I199" s="20">
        <v>4.6680101517188399</v>
      </c>
      <c r="J199" s="20">
        <v>11.411023535625123</v>
      </c>
      <c r="K199" s="20">
        <v>33.716063080468601</v>
      </c>
      <c r="L199" s="20">
        <v>2.0750032321874405</v>
      </c>
      <c r="M199" s="20" t="s">
        <v>131</v>
      </c>
      <c r="N199" s="20">
        <v>17.238000000000007</v>
      </c>
      <c r="O199" s="20">
        <v>0.81</v>
      </c>
      <c r="P199" s="20">
        <v>16.428000000000001</v>
      </c>
      <c r="Q199" s="20">
        <v>17.238</v>
      </c>
    </row>
    <row r="200" spans="2:17" ht="56.25" x14ac:dyDescent="0.25">
      <c r="B200" s="51" t="s">
        <v>101</v>
      </c>
      <c r="C200" s="76" t="s">
        <v>401</v>
      </c>
      <c r="D200" s="20" t="s">
        <v>297</v>
      </c>
      <c r="E200" s="21">
        <v>2020</v>
      </c>
      <c r="F200" s="21">
        <v>2024</v>
      </c>
      <c r="G200" s="20" t="s">
        <v>131</v>
      </c>
      <c r="H200" s="20">
        <v>103.63640000000001</v>
      </c>
      <c r="I200" s="20">
        <v>9.3270845770225339</v>
      </c>
      <c r="J200" s="20">
        <v>22.800390845954933</v>
      </c>
      <c r="K200" s="20">
        <v>67.36366000000001</v>
      </c>
      <c r="L200" s="20">
        <v>4.1452645770225347</v>
      </c>
      <c r="M200" s="20" t="s">
        <v>131</v>
      </c>
      <c r="N200" s="20">
        <v>39.290800000000004</v>
      </c>
      <c r="O200" s="20">
        <v>16.1388</v>
      </c>
      <c r="P200" s="20">
        <v>23.152000000000001</v>
      </c>
      <c r="Q200" s="20">
        <v>39.290800000000004</v>
      </c>
    </row>
    <row r="201" spans="2:17" ht="56.25" x14ac:dyDescent="0.25">
      <c r="B201" s="51" t="s">
        <v>101</v>
      </c>
      <c r="C201" s="76" t="s">
        <v>392</v>
      </c>
      <c r="D201" s="20" t="s">
        <v>288</v>
      </c>
      <c r="E201" s="21" t="s">
        <v>131</v>
      </c>
      <c r="F201" s="21" t="s">
        <v>131</v>
      </c>
      <c r="G201" s="20" t="s">
        <v>131</v>
      </c>
      <c r="H201" s="20">
        <v>0</v>
      </c>
      <c r="I201" s="20">
        <v>0</v>
      </c>
      <c r="J201" s="20">
        <v>0</v>
      </c>
      <c r="K201" s="20">
        <v>0</v>
      </c>
      <c r="L201" s="20">
        <v>0</v>
      </c>
      <c r="M201" s="20" t="s">
        <v>131</v>
      </c>
      <c r="N201" s="20">
        <v>0</v>
      </c>
      <c r="O201" s="20">
        <v>0</v>
      </c>
      <c r="P201" s="20">
        <v>0</v>
      </c>
      <c r="Q201" s="20">
        <v>0</v>
      </c>
    </row>
    <row r="202" spans="2:17" ht="76.5" customHeight="1" x14ac:dyDescent="0.25">
      <c r="B202" s="49" t="s">
        <v>103</v>
      </c>
      <c r="C202" s="50" t="s">
        <v>104</v>
      </c>
      <c r="D202" s="17" t="s">
        <v>129</v>
      </c>
      <c r="E202" s="18" t="s">
        <v>131</v>
      </c>
      <c r="F202" s="18" t="s">
        <v>131</v>
      </c>
      <c r="G202" s="17" t="s">
        <v>131</v>
      </c>
      <c r="H202" s="17">
        <v>1001.9674685</v>
      </c>
      <c r="I202" s="17">
        <v>50.098373425000005</v>
      </c>
      <c r="J202" s="17">
        <v>250.491867125</v>
      </c>
      <c r="K202" s="17">
        <v>641.25917984000012</v>
      </c>
      <c r="L202" s="17">
        <v>60.118048110000004</v>
      </c>
      <c r="M202" s="17" t="s">
        <v>131</v>
      </c>
      <c r="N202" s="17">
        <v>986.49996850000014</v>
      </c>
      <c r="O202" s="17">
        <v>342.53996850000004</v>
      </c>
      <c r="P202" s="17">
        <v>643.96</v>
      </c>
      <c r="Q202" s="17">
        <v>986.49996850000002</v>
      </c>
    </row>
    <row r="203" spans="2:17" ht="38.25" customHeight="1" x14ac:dyDescent="0.25">
      <c r="B203" s="49" t="s">
        <v>105</v>
      </c>
      <c r="C203" s="50" t="s">
        <v>106</v>
      </c>
      <c r="D203" s="187" t="s">
        <v>129</v>
      </c>
      <c r="E203" s="188" t="s">
        <v>131</v>
      </c>
      <c r="F203" s="188" t="s">
        <v>131</v>
      </c>
      <c r="G203" s="187" t="s">
        <v>131</v>
      </c>
      <c r="H203" s="187">
        <v>0</v>
      </c>
      <c r="I203" s="187">
        <v>0</v>
      </c>
      <c r="J203" s="187">
        <v>0</v>
      </c>
      <c r="K203" s="187">
        <v>0</v>
      </c>
      <c r="L203" s="187">
        <v>0</v>
      </c>
      <c r="M203" s="187" t="s">
        <v>131</v>
      </c>
      <c r="N203" s="187">
        <v>0</v>
      </c>
      <c r="O203" s="187">
        <v>0</v>
      </c>
      <c r="P203" s="187">
        <v>0</v>
      </c>
      <c r="Q203" s="17">
        <v>0</v>
      </c>
    </row>
    <row r="204" spans="2:17" ht="84.75" customHeight="1" x14ac:dyDescent="0.25">
      <c r="B204" s="51" t="s">
        <v>105</v>
      </c>
      <c r="C204" s="76" t="s">
        <v>493</v>
      </c>
      <c r="D204" s="20" t="s">
        <v>302</v>
      </c>
      <c r="E204" s="21" t="s">
        <v>131</v>
      </c>
      <c r="F204" s="21" t="s">
        <v>131</v>
      </c>
      <c r="G204" s="20" t="s">
        <v>131</v>
      </c>
      <c r="H204" s="20">
        <v>0</v>
      </c>
      <c r="I204" s="20">
        <v>0</v>
      </c>
      <c r="J204" s="20">
        <v>0</v>
      </c>
      <c r="K204" s="20">
        <v>0</v>
      </c>
      <c r="L204" s="20">
        <v>0</v>
      </c>
      <c r="M204" s="20" t="s">
        <v>131</v>
      </c>
      <c r="N204" s="20">
        <v>0</v>
      </c>
      <c r="O204" s="20">
        <v>0</v>
      </c>
      <c r="P204" s="20">
        <v>0</v>
      </c>
      <c r="Q204" s="20">
        <v>0</v>
      </c>
    </row>
    <row r="205" spans="2:17" ht="37.5" x14ac:dyDescent="0.25">
      <c r="B205" s="49" t="s">
        <v>107</v>
      </c>
      <c r="C205" s="50" t="s">
        <v>108</v>
      </c>
      <c r="D205" s="187" t="s">
        <v>129</v>
      </c>
      <c r="E205" s="188" t="s">
        <v>131</v>
      </c>
      <c r="F205" s="188" t="s">
        <v>131</v>
      </c>
      <c r="G205" s="187" t="s">
        <v>131</v>
      </c>
      <c r="H205" s="187">
        <v>1001.9674685</v>
      </c>
      <c r="I205" s="187">
        <v>50.098373425000005</v>
      </c>
      <c r="J205" s="187">
        <v>250.491867125</v>
      </c>
      <c r="K205" s="187">
        <v>641.25917984000012</v>
      </c>
      <c r="L205" s="187">
        <v>60.118048110000004</v>
      </c>
      <c r="M205" s="187" t="s">
        <v>131</v>
      </c>
      <c r="N205" s="187">
        <v>986.49996850000014</v>
      </c>
      <c r="O205" s="187">
        <v>342.53996850000004</v>
      </c>
      <c r="P205" s="187">
        <v>643.96</v>
      </c>
      <c r="Q205" s="187">
        <v>986.49996850000002</v>
      </c>
    </row>
    <row r="206" spans="2:17" ht="18.75" x14ac:dyDescent="0.25">
      <c r="B206" s="51" t="s">
        <v>107</v>
      </c>
      <c r="C206" s="76" t="s">
        <v>191</v>
      </c>
      <c r="D206" s="28" t="s">
        <v>210</v>
      </c>
      <c r="E206" s="21">
        <v>2022</v>
      </c>
      <c r="F206" s="21">
        <v>2024</v>
      </c>
      <c r="G206" s="28" t="s">
        <v>131</v>
      </c>
      <c r="H206" s="20">
        <v>821.88996600000007</v>
      </c>
      <c r="I206" s="20">
        <v>41.094498300000005</v>
      </c>
      <c r="J206" s="20">
        <v>205.47249150000002</v>
      </c>
      <c r="K206" s="20">
        <v>526.00957824000011</v>
      </c>
      <c r="L206" s="20">
        <v>49.313397960000003</v>
      </c>
      <c r="M206" s="28" t="s">
        <v>131</v>
      </c>
      <c r="N206" s="20">
        <v>808.39996600000006</v>
      </c>
      <c r="O206" s="28">
        <v>164.43996600000003</v>
      </c>
      <c r="P206" s="28">
        <v>643.96</v>
      </c>
      <c r="Q206" s="20">
        <v>808.39996600000006</v>
      </c>
    </row>
    <row r="207" spans="2:17" ht="18.75" x14ac:dyDescent="0.25">
      <c r="B207" s="51" t="s">
        <v>107</v>
      </c>
      <c r="C207" s="76" t="s">
        <v>541</v>
      </c>
      <c r="D207" s="20" t="s">
        <v>543</v>
      </c>
      <c r="E207" s="21">
        <v>2022</v>
      </c>
      <c r="F207" s="21">
        <v>2023</v>
      </c>
      <c r="G207" s="20" t="s">
        <v>131</v>
      </c>
      <c r="H207" s="20">
        <v>166.7725025</v>
      </c>
      <c r="I207" s="20">
        <v>8.3386251250000001</v>
      </c>
      <c r="J207" s="20">
        <v>41.693125625</v>
      </c>
      <c r="K207" s="20">
        <v>106.7344016</v>
      </c>
      <c r="L207" s="20">
        <v>10.006350149999999</v>
      </c>
      <c r="M207" s="20" t="s">
        <v>131</v>
      </c>
      <c r="N207" s="20">
        <v>165.4900025</v>
      </c>
      <c r="O207" s="20">
        <v>165.4900025</v>
      </c>
      <c r="P207" s="20">
        <v>0</v>
      </c>
      <c r="Q207" s="20">
        <v>165.4900025</v>
      </c>
    </row>
    <row r="208" spans="2:17" ht="18.75" x14ac:dyDescent="0.25">
      <c r="B208" s="51" t="s">
        <v>107</v>
      </c>
      <c r="C208" s="76" t="s">
        <v>542</v>
      </c>
      <c r="D208" s="20" t="s">
        <v>544</v>
      </c>
      <c r="E208" s="21">
        <v>2022</v>
      </c>
      <c r="F208" s="21">
        <v>2023</v>
      </c>
      <c r="G208" s="20" t="s">
        <v>131</v>
      </c>
      <c r="H208" s="20">
        <v>13.305</v>
      </c>
      <c r="I208" s="20">
        <v>0.66525000000000001</v>
      </c>
      <c r="J208" s="20">
        <v>3.3262499999999999</v>
      </c>
      <c r="K208" s="20">
        <v>8.5152000000000001</v>
      </c>
      <c r="L208" s="20">
        <v>0.7982999999999999</v>
      </c>
      <c r="M208" s="20" t="s">
        <v>131</v>
      </c>
      <c r="N208" s="20">
        <v>12.61</v>
      </c>
      <c r="O208" s="20">
        <v>12.61</v>
      </c>
      <c r="P208" s="20">
        <v>0</v>
      </c>
      <c r="Q208" s="20">
        <v>12.61</v>
      </c>
    </row>
    <row r="209" spans="2:17" ht="54.75" customHeight="1" x14ac:dyDescent="0.25">
      <c r="B209" s="49" t="s">
        <v>113</v>
      </c>
      <c r="C209" s="50" t="s">
        <v>114</v>
      </c>
      <c r="D209" s="17" t="s">
        <v>129</v>
      </c>
      <c r="E209" s="18" t="s">
        <v>131</v>
      </c>
      <c r="F209" s="18" t="s">
        <v>131</v>
      </c>
      <c r="G209" s="17" t="s">
        <v>131</v>
      </c>
      <c r="H209" s="17">
        <v>3055.49631</v>
      </c>
      <c r="I209" s="17">
        <v>139.165965916094</v>
      </c>
      <c r="J209" s="17">
        <v>1992.9816888728767</v>
      </c>
      <c r="K209" s="17">
        <v>763.51101167281877</v>
      </c>
      <c r="L209" s="17">
        <v>147.83764353821047</v>
      </c>
      <c r="M209" s="17" t="s">
        <v>131</v>
      </c>
      <c r="N209" s="17">
        <v>983.68920999999989</v>
      </c>
      <c r="O209" s="17">
        <v>396.55391183</v>
      </c>
      <c r="P209" s="17">
        <v>263.79000000000002</v>
      </c>
      <c r="Q209" s="17">
        <v>660.34391183000002</v>
      </c>
    </row>
    <row r="210" spans="2:17" ht="53.25" customHeight="1" x14ac:dyDescent="0.25">
      <c r="B210" s="51" t="s">
        <v>113</v>
      </c>
      <c r="C210" s="76" t="s">
        <v>372</v>
      </c>
      <c r="D210" s="28" t="s">
        <v>570</v>
      </c>
      <c r="E210" s="21">
        <v>2019</v>
      </c>
      <c r="F210" s="21">
        <v>2020</v>
      </c>
      <c r="G210" s="20" t="s">
        <v>131</v>
      </c>
      <c r="H210" s="20">
        <v>182.286</v>
      </c>
      <c r="I210" s="20">
        <v>9.1143000000000001</v>
      </c>
      <c r="J210" s="20">
        <v>45.5715</v>
      </c>
      <c r="K210" s="20">
        <v>116.66304000000001</v>
      </c>
      <c r="L210" s="20">
        <v>10.93716</v>
      </c>
      <c r="M210" s="28" t="s">
        <v>131</v>
      </c>
      <c r="N210" s="20">
        <v>0</v>
      </c>
      <c r="O210" s="28">
        <v>0</v>
      </c>
      <c r="P210" s="28">
        <v>0</v>
      </c>
      <c r="Q210" s="20">
        <v>0</v>
      </c>
    </row>
    <row r="211" spans="2:17" ht="54.75" customHeight="1" x14ac:dyDescent="0.25">
      <c r="B211" s="51" t="s">
        <v>113</v>
      </c>
      <c r="C211" s="76" t="s">
        <v>373</v>
      </c>
      <c r="D211" s="28" t="s">
        <v>434</v>
      </c>
      <c r="E211" s="21">
        <v>2022</v>
      </c>
      <c r="F211" s="21">
        <v>2023</v>
      </c>
      <c r="G211" s="28" t="s">
        <v>131</v>
      </c>
      <c r="H211" s="20">
        <v>375.87380999999999</v>
      </c>
      <c r="I211" s="20">
        <v>18.7936905</v>
      </c>
      <c r="J211" s="20">
        <v>93.968452499999998</v>
      </c>
      <c r="K211" s="20">
        <v>240.5592384</v>
      </c>
      <c r="L211" s="20">
        <v>22.552428599999999</v>
      </c>
      <c r="M211" s="28" t="s">
        <v>131</v>
      </c>
      <c r="N211" s="20">
        <v>264.11570999999998</v>
      </c>
      <c r="O211" s="28">
        <v>264.11570999999998</v>
      </c>
      <c r="P211" s="28">
        <v>0</v>
      </c>
      <c r="Q211" s="20">
        <v>264.11570999999998</v>
      </c>
    </row>
    <row r="212" spans="2:17" ht="45.75" customHeight="1" x14ac:dyDescent="0.25">
      <c r="B212" s="51" t="s">
        <v>113</v>
      </c>
      <c r="C212" s="78" t="s">
        <v>371</v>
      </c>
      <c r="D212" s="28" t="s">
        <v>438</v>
      </c>
      <c r="E212" s="21">
        <v>2023</v>
      </c>
      <c r="F212" s="21">
        <v>2023</v>
      </c>
      <c r="G212" s="20" t="s">
        <v>131</v>
      </c>
      <c r="H212" s="20">
        <v>88.41</v>
      </c>
      <c r="I212" s="20">
        <v>6.1887000000000008</v>
      </c>
      <c r="J212" s="20">
        <v>76.032600000000002</v>
      </c>
      <c r="K212" s="20">
        <v>0</v>
      </c>
      <c r="L212" s="20">
        <v>6.1887000000000008</v>
      </c>
      <c r="M212" s="20" t="s">
        <v>131</v>
      </c>
      <c r="N212" s="20">
        <v>88.41</v>
      </c>
      <c r="O212" s="20">
        <v>88.41</v>
      </c>
      <c r="P212" s="20">
        <v>0</v>
      </c>
      <c r="Q212" s="20">
        <v>88.41</v>
      </c>
    </row>
    <row r="213" spans="2:17" ht="54" customHeight="1" x14ac:dyDescent="0.25">
      <c r="B213" s="51" t="s">
        <v>113</v>
      </c>
      <c r="C213" s="76" t="s">
        <v>403</v>
      </c>
      <c r="D213" s="28" t="s">
        <v>315</v>
      </c>
      <c r="E213" s="21">
        <v>2020</v>
      </c>
      <c r="F213" s="21">
        <v>2020</v>
      </c>
      <c r="G213" s="20" t="s">
        <v>131</v>
      </c>
      <c r="H213" s="20">
        <v>157.19999999999999</v>
      </c>
      <c r="I213" s="20">
        <v>10.149617802363588</v>
      </c>
      <c r="J213" s="20">
        <v>113.04308524013074</v>
      </c>
      <c r="K213" s="20">
        <v>26.724395272818708</v>
      </c>
      <c r="L213" s="20">
        <v>7.2829016846869488</v>
      </c>
      <c r="M213" s="20" t="s">
        <v>131</v>
      </c>
      <c r="N213" s="20">
        <v>0</v>
      </c>
      <c r="O213" s="20">
        <v>0</v>
      </c>
      <c r="P213" s="20">
        <v>0</v>
      </c>
      <c r="Q213" s="20">
        <v>0</v>
      </c>
    </row>
    <row r="214" spans="2:17" ht="37.5" x14ac:dyDescent="0.25">
      <c r="B214" s="51" t="s">
        <v>113</v>
      </c>
      <c r="C214" s="80" t="s">
        <v>405</v>
      </c>
      <c r="D214" s="28" t="s">
        <v>317</v>
      </c>
      <c r="E214" s="21">
        <v>2021</v>
      </c>
      <c r="F214" s="21">
        <v>2022</v>
      </c>
      <c r="G214" s="28" t="s">
        <v>131</v>
      </c>
      <c r="H214" s="20">
        <v>191.39780000000002</v>
      </c>
      <c r="I214" s="20">
        <v>6.2288500031999998</v>
      </c>
      <c r="J214" s="20">
        <v>140.68810127680004</v>
      </c>
      <c r="K214" s="20">
        <v>32.537626000000003</v>
      </c>
      <c r="L214" s="20">
        <v>11.943222720000001</v>
      </c>
      <c r="M214" s="20" t="s">
        <v>131</v>
      </c>
      <c r="N214" s="20">
        <v>0</v>
      </c>
      <c r="O214" s="20">
        <v>0</v>
      </c>
      <c r="P214" s="20">
        <v>0</v>
      </c>
      <c r="Q214" s="20">
        <v>0</v>
      </c>
    </row>
    <row r="215" spans="2:17" ht="37.5" x14ac:dyDescent="0.25">
      <c r="B215" s="51" t="s">
        <v>113</v>
      </c>
      <c r="C215" s="80" t="s">
        <v>406</v>
      </c>
      <c r="D215" s="28" t="s">
        <v>217</v>
      </c>
      <c r="E215" s="21">
        <v>2020</v>
      </c>
      <c r="F215" s="21">
        <v>2020</v>
      </c>
      <c r="G215" s="20" t="s">
        <v>131</v>
      </c>
      <c r="H215" s="20">
        <v>196.4</v>
      </c>
      <c r="I215" s="20">
        <v>6.3932127999999997</v>
      </c>
      <c r="J215" s="20">
        <v>144.36342720000002</v>
      </c>
      <c r="K215" s="20">
        <v>33.388000000000005</v>
      </c>
      <c r="L215" s="20">
        <v>12.25536</v>
      </c>
      <c r="M215" s="20" t="s">
        <v>131</v>
      </c>
      <c r="N215" s="20">
        <v>0</v>
      </c>
      <c r="O215" s="20">
        <v>0</v>
      </c>
      <c r="P215" s="20">
        <v>0</v>
      </c>
      <c r="Q215" s="20">
        <v>0</v>
      </c>
    </row>
    <row r="216" spans="2:17" ht="37.5" x14ac:dyDescent="0.25">
      <c r="B216" s="51" t="s">
        <v>113</v>
      </c>
      <c r="C216" s="80" t="s">
        <v>407</v>
      </c>
      <c r="D216" s="28" t="s">
        <v>318</v>
      </c>
      <c r="E216" s="21">
        <v>2022</v>
      </c>
      <c r="F216" s="21">
        <v>2025</v>
      </c>
      <c r="G216" s="20" t="s">
        <v>131</v>
      </c>
      <c r="H216" s="20">
        <v>163</v>
      </c>
      <c r="I216" s="20">
        <v>6.51</v>
      </c>
      <c r="J216" s="20">
        <v>117.88</v>
      </c>
      <c r="K216" s="20">
        <v>27.71</v>
      </c>
      <c r="L216" s="20">
        <v>10.9</v>
      </c>
      <c r="M216" s="20" t="s">
        <v>131</v>
      </c>
      <c r="N216" s="20">
        <v>157.9272</v>
      </c>
      <c r="O216" s="20">
        <v>5.576479</v>
      </c>
      <c r="P216" s="20">
        <v>0.88</v>
      </c>
      <c r="Q216" s="20">
        <v>6.4564789999999999</v>
      </c>
    </row>
    <row r="217" spans="2:17" ht="37.5" x14ac:dyDescent="0.25">
      <c r="B217" s="51" t="s">
        <v>113</v>
      </c>
      <c r="C217" s="80" t="s">
        <v>409</v>
      </c>
      <c r="D217" s="28" t="s">
        <v>218</v>
      </c>
      <c r="E217" s="21">
        <v>2019</v>
      </c>
      <c r="F217" s="21">
        <v>2020</v>
      </c>
      <c r="G217" s="20" t="s">
        <v>131</v>
      </c>
      <c r="H217" s="20">
        <v>1007.3951</v>
      </c>
      <c r="I217" s="20">
        <v>41.806250810530408</v>
      </c>
      <c r="J217" s="20">
        <v>755.53432265594597</v>
      </c>
      <c r="K217" s="20">
        <v>171.25799999999998</v>
      </c>
      <c r="L217" s="20">
        <v>38.796526533523497</v>
      </c>
      <c r="M217" s="20" t="s">
        <v>131</v>
      </c>
      <c r="N217" s="20">
        <v>0</v>
      </c>
      <c r="O217" s="20">
        <v>0</v>
      </c>
      <c r="P217" s="20">
        <v>0</v>
      </c>
      <c r="Q217" s="20">
        <v>0</v>
      </c>
    </row>
    <row r="218" spans="2:17" ht="37.5" x14ac:dyDescent="0.25">
      <c r="B218" s="51" t="s">
        <v>113</v>
      </c>
      <c r="C218" s="80" t="s">
        <v>451</v>
      </c>
      <c r="D218" s="28" t="s">
        <v>514</v>
      </c>
      <c r="E218" s="21">
        <v>2020</v>
      </c>
      <c r="F218" s="21">
        <v>2021</v>
      </c>
      <c r="G218" s="20" t="s">
        <v>131</v>
      </c>
      <c r="H218" s="20">
        <v>210.4016</v>
      </c>
      <c r="I218" s="20">
        <v>8.4160640000000004</v>
      </c>
      <c r="J218" s="20">
        <v>157.80119999999999</v>
      </c>
      <c r="K218" s="20">
        <v>35.768272000000003</v>
      </c>
      <c r="L218" s="20">
        <v>8.4160640000000004</v>
      </c>
      <c r="M218" s="20" t="s">
        <v>131</v>
      </c>
      <c r="N218" s="20">
        <v>0</v>
      </c>
      <c r="O218" s="20">
        <v>0</v>
      </c>
      <c r="P218" s="20">
        <v>0</v>
      </c>
      <c r="Q218" s="20">
        <v>0</v>
      </c>
    </row>
    <row r="219" spans="2:17" ht="37.5" x14ac:dyDescent="0.25">
      <c r="B219" s="51" t="s">
        <v>113</v>
      </c>
      <c r="C219" s="80" t="s">
        <v>410</v>
      </c>
      <c r="D219" s="28" t="s">
        <v>439</v>
      </c>
      <c r="E219" s="21">
        <v>2022</v>
      </c>
      <c r="F219" s="21">
        <v>2025</v>
      </c>
      <c r="G219" s="20" t="s">
        <v>131</v>
      </c>
      <c r="H219" s="20">
        <v>200</v>
      </c>
      <c r="I219" s="20">
        <v>8</v>
      </c>
      <c r="J219" s="20">
        <v>150</v>
      </c>
      <c r="K219" s="20">
        <v>34</v>
      </c>
      <c r="L219" s="20">
        <v>8</v>
      </c>
      <c r="M219" s="20" t="s">
        <v>131</v>
      </c>
      <c r="N219" s="20">
        <v>190.10429999999999</v>
      </c>
      <c r="O219" s="20">
        <v>18.22972283</v>
      </c>
      <c r="P219" s="20">
        <v>0</v>
      </c>
      <c r="Q219" s="20">
        <v>18.22972283</v>
      </c>
    </row>
    <row r="220" spans="2:17" ht="57" customHeight="1" x14ac:dyDescent="0.25">
      <c r="B220" s="51" t="s">
        <v>113</v>
      </c>
      <c r="C220" s="80" t="s">
        <v>622</v>
      </c>
      <c r="D220" s="28" t="s">
        <v>623</v>
      </c>
      <c r="E220" s="21">
        <v>2023</v>
      </c>
      <c r="F220" s="21">
        <v>2025</v>
      </c>
      <c r="G220" s="20" t="s">
        <v>131</v>
      </c>
      <c r="H220" s="20">
        <v>8.6320000000000014</v>
      </c>
      <c r="I220" s="20">
        <v>0.34528000000000009</v>
      </c>
      <c r="J220" s="20">
        <v>6.4740000000000011</v>
      </c>
      <c r="K220" s="20">
        <v>1.4674400000000003</v>
      </c>
      <c r="L220" s="20">
        <v>0.34528000000000009</v>
      </c>
      <c r="M220" s="20" t="s">
        <v>131</v>
      </c>
      <c r="N220" s="20">
        <v>8.6320000000000014</v>
      </c>
      <c r="O220" s="20">
        <v>8.2220000000000013</v>
      </c>
      <c r="P220" s="20">
        <v>0.41</v>
      </c>
      <c r="Q220" s="20">
        <v>8.6320000000000014</v>
      </c>
    </row>
    <row r="221" spans="2:17" ht="37.5" x14ac:dyDescent="0.25">
      <c r="B221" s="51" t="s">
        <v>113</v>
      </c>
      <c r="C221" s="76" t="s">
        <v>651</v>
      </c>
      <c r="D221" s="28" t="s">
        <v>641</v>
      </c>
      <c r="E221" s="21">
        <v>2024</v>
      </c>
      <c r="F221" s="21">
        <v>2024</v>
      </c>
      <c r="G221" s="20" t="s">
        <v>131</v>
      </c>
      <c r="H221" s="20">
        <v>50</v>
      </c>
      <c r="I221" s="20">
        <v>2</v>
      </c>
      <c r="J221" s="20">
        <v>37.5</v>
      </c>
      <c r="K221" s="20">
        <v>8.5</v>
      </c>
      <c r="L221" s="20">
        <v>2</v>
      </c>
      <c r="M221" s="20" t="s">
        <v>131</v>
      </c>
      <c r="N221" s="20">
        <v>50</v>
      </c>
      <c r="O221" s="20">
        <v>0</v>
      </c>
      <c r="P221" s="20">
        <v>50</v>
      </c>
      <c r="Q221" s="20">
        <v>50</v>
      </c>
    </row>
    <row r="222" spans="2:17" ht="37.5" x14ac:dyDescent="0.25">
      <c r="B222" s="51" t="s">
        <v>113</v>
      </c>
      <c r="C222" s="80" t="s">
        <v>408</v>
      </c>
      <c r="D222" s="28" t="s">
        <v>319</v>
      </c>
      <c r="E222" s="21">
        <v>2024</v>
      </c>
      <c r="F222" s="21">
        <v>2024</v>
      </c>
      <c r="G222" s="20" t="s">
        <v>131</v>
      </c>
      <c r="H222" s="20">
        <v>205.5</v>
      </c>
      <c r="I222" s="20">
        <v>8.2200000000000006</v>
      </c>
      <c r="J222" s="20">
        <v>154.125</v>
      </c>
      <c r="K222" s="20">
        <v>34.935000000000002</v>
      </c>
      <c r="L222" s="20">
        <v>8.2200000000000006</v>
      </c>
      <c r="M222" s="20" t="s">
        <v>131</v>
      </c>
      <c r="N222" s="20">
        <v>205.5</v>
      </c>
      <c r="O222" s="20">
        <v>0</v>
      </c>
      <c r="P222" s="20">
        <v>205.5</v>
      </c>
      <c r="Q222" s="20">
        <v>205.5</v>
      </c>
    </row>
    <row r="223" spans="2:17" ht="37.5" x14ac:dyDescent="0.25">
      <c r="B223" s="51" t="s">
        <v>113</v>
      </c>
      <c r="C223" s="80" t="s">
        <v>627</v>
      </c>
      <c r="D223" s="28" t="s">
        <v>316</v>
      </c>
      <c r="E223" s="21">
        <v>2024</v>
      </c>
      <c r="F223" s="21">
        <v>2024</v>
      </c>
      <c r="G223" s="20" t="s">
        <v>131</v>
      </c>
      <c r="H223" s="20">
        <v>19</v>
      </c>
      <c r="I223" s="20">
        <v>7</v>
      </c>
      <c r="J223" s="20">
        <v>0</v>
      </c>
      <c r="K223" s="20">
        <v>0</v>
      </c>
      <c r="L223" s="20">
        <v>0</v>
      </c>
      <c r="M223" s="20" t="s">
        <v>131</v>
      </c>
      <c r="N223" s="20">
        <v>19</v>
      </c>
      <c r="O223" s="20">
        <v>12</v>
      </c>
      <c r="P223" s="20">
        <v>7</v>
      </c>
      <c r="Q223" s="20">
        <v>19</v>
      </c>
    </row>
    <row r="224" spans="2:17" ht="37.5" x14ac:dyDescent="0.25">
      <c r="B224" s="51" t="s">
        <v>113</v>
      </c>
      <c r="C224" s="137" t="s">
        <v>193</v>
      </c>
      <c r="D224" s="20" t="s">
        <v>313</v>
      </c>
      <c r="E224" s="21" t="s">
        <v>131</v>
      </c>
      <c r="F224" s="21" t="s">
        <v>131</v>
      </c>
      <c r="G224" s="20" t="s">
        <v>131</v>
      </c>
      <c r="H224" s="20">
        <v>0</v>
      </c>
      <c r="I224" s="20">
        <v>0</v>
      </c>
      <c r="J224" s="20">
        <v>0</v>
      </c>
      <c r="K224" s="20">
        <v>0</v>
      </c>
      <c r="L224" s="20">
        <v>0</v>
      </c>
      <c r="M224" s="20" t="s">
        <v>131</v>
      </c>
      <c r="N224" s="20">
        <v>0</v>
      </c>
      <c r="O224" s="20">
        <v>0</v>
      </c>
      <c r="P224" s="20">
        <v>0</v>
      </c>
      <c r="Q224" s="20">
        <v>0</v>
      </c>
    </row>
    <row r="225" spans="2:17" ht="18.75" x14ac:dyDescent="0.25">
      <c r="B225" s="51" t="s">
        <v>113</v>
      </c>
      <c r="C225" s="80" t="s">
        <v>360</v>
      </c>
      <c r="D225" s="20" t="s">
        <v>515</v>
      </c>
      <c r="E225" s="21" t="s">
        <v>131</v>
      </c>
      <c r="F225" s="21" t="s">
        <v>131</v>
      </c>
      <c r="G225" s="20" t="s">
        <v>131</v>
      </c>
      <c r="H225" s="20">
        <v>0</v>
      </c>
      <c r="I225" s="20">
        <v>0</v>
      </c>
      <c r="J225" s="20">
        <v>0</v>
      </c>
      <c r="K225" s="20">
        <v>0</v>
      </c>
      <c r="L225" s="20">
        <v>0</v>
      </c>
      <c r="M225" s="20" t="s">
        <v>131</v>
      </c>
      <c r="N225" s="20">
        <v>0</v>
      </c>
      <c r="O225" s="20">
        <v>0</v>
      </c>
      <c r="P225" s="20">
        <v>0</v>
      </c>
      <c r="Q225" s="20">
        <v>0</v>
      </c>
    </row>
    <row r="226" spans="2:17" ht="37.5" x14ac:dyDescent="0.25">
      <c r="B226" s="51" t="s">
        <v>113</v>
      </c>
      <c r="C226" s="80" t="s">
        <v>402</v>
      </c>
      <c r="D226" s="28" t="s">
        <v>314</v>
      </c>
      <c r="E226" s="21" t="s">
        <v>131</v>
      </c>
      <c r="F226" s="21" t="s">
        <v>131</v>
      </c>
      <c r="G226" s="20" t="s">
        <v>131</v>
      </c>
      <c r="H226" s="20">
        <v>0</v>
      </c>
      <c r="I226" s="20">
        <v>0</v>
      </c>
      <c r="J226" s="20">
        <v>0</v>
      </c>
      <c r="K226" s="20">
        <v>0</v>
      </c>
      <c r="L226" s="20">
        <v>0</v>
      </c>
      <c r="M226" s="20" t="s">
        <v>131</v>
      </c>
      <c r="N226" s="20">
        <v>0</v>
      </c>
      <c r="O226" s="20">
        <v>0</v>
      </c>
      <c r="P226" s="20">
        <v>0</v>
      </c>
      <c r="Q226" s="20">
        <v>0</v>
      </c>
    </row>
    <row r="227" spans="2:17" ht="37.5" x14ac:dyDescent="0.25">
      <c r="B227" s="49" t="s">
        <v>115</v>
      </c>
      <c r="C227" s="50" t="s">
        <v>116</v>
      </c>
      <c r="D227" s="17" t="s">
        <v>129</v>
      </c>
      <c r="E227" s="18" t="s">
        <v>131</v>
      </c>
      <c r="F227" s="18" t="s">
        <v>131</v>
      </c>
      <c r="G227" s="17" t="s">
        <v>131</v>
      </c>
      <c r="H227" s="17">
        <v>0</v>
      </c>
      <c r="I227" s="17">
        <v>0</v>
      </c>
      <c r="J227" s="17">
        <v>0</v>
      </c>
      <c r="K227" s="17">
        <v>0</v>
      </c>
      <c r="L227" s="17">
        <v>0</v>
      </c>
      <c r="M227" s="17" t="s">
        <v>131</v>
      </c>
      <c r="N227" s="17">
        <v>0</v>
      </c>
      <c r="O227" s="17">
        <v>0</v>
      </c>
      <c r="P227" s="17">
        <v>0</v>
      </c>
      <c r="Q227" s="17">
        <v>0</v>
      </c>
    </row>
    <row r="228" spans="2:17" ht="18.75" x14ac:dyDescent="0.25">
      <c r="B228" s="49" t="s">
        <v>117</v>
      </c>
      <c r="C228" s="50" t="s">
        <v>118</v>
      </c>
      <c r="D228" s="17" t="s">
        <v>129</v>
      </c>
      <c r="E228" s="18" t="s">
        <v>131</v>
      </c>
      <c r="F228" s="18" t="s">
        <v>131</v>
      </c>
      <c r="G228" s="17" t="s">
        <v>131</v>
      </c>
      <c r="H228" s="17">
        <v>6697.5681262400003</v>
      </c>
      <c r="I228" s="17">
        <v>131.02724006146903</v>
      </c>
      <c r="J228" s="17">
        <v>749.50896119913239</v>
      </c>
      <c r="K228" s="17">
        <v>940.81143963108332</v>
      </c>
      <c r="L228" s="17">
        <v>4876.2204853483145</v>
      </c>
      <c r="M228" s="17" t="s">
        <v>131</v>
      </c>
      <c r="N228" s="17">
        <v>2662.9976046199995</v>
      </c>
      <c r="O228" s="17">
        <v>1404.86393462</v>
      </c>
      <c r="P228" s="17">
        <v>1258.8789999999999</v>
      </c>
      <c r="Q228" s="17">
        <v>2663.7429346199997</v>
      </c>
    </row>
    <row r="229" spans="2:17" ht="56.25" x14ac:dyDescent="0.25">
      <c r="B229" s="51" t="s">
        <v>117</v>
      </c>
      <c r="C229" s="76" t="s">
        <v>411</v>
      </c>
      <c r="D229" s="28" t="s">
        <v>320</v>
      </c>
      <c r="E229" s="21">
        <v>2020</v>
      </c>
      <c r="F229" s="21">
        <v>2020</v>
      </c>
      <c r="G229" s="20" t="s">
        <v>131</v>
      </c>
      <c r="H229" s="20">
        <v>8.3299999999999999E-2</v>
      </c>
      <c r="I229" s="20">
        <v>7.5034200385356454E-3</v>
      </c>
      <c r="J229" s="20">
        <v>7.246618497109826E-2</v>
      </c>
      <c r="K229" s="20">
        <v>0</v>
      </c>
      <c r="L229" s="20">
        <v>3.3303949903660882E-3</v>
      </c>
      <c r="M229" s="20" t="s">
        <v>131</v>
      </c>
      <c r="N229" s="20">
        <v>0</v>
      </c>
      <c r="O229" s="20">
        <v>0</v>
      </c>
      <c r="P229" s="20">
        <v>0</v>
      </c>
      <c r="Q229" s="20">
        <v>0</v>
      </c>
    </row>
    <row r="230" spans="2:17" ht="56.25" x14ac:dyDescent="0.25">
      <c r="B230" s="51" t="s">
        <v>117</v>
      </c>
      <c r="C230" s="76" t="s">
        <v>412</v>
      </c>
      <c r="D230" s="28" t="s">
        <v>321</v>
      </c>
      <c r="E230" s="21">
        <v>2020</v>
      </c>
      <c r="F230" s="21">
        <v>2020</v>
      </c>
      <c r="G230" s="20" t="s">
        <v>131</v>
      </c>
      <c r="H230" s="20">
        <v>1.7307000000000001</v>
      </c>
      <c r="I230" s="20">
        <v>0.12151723404255321</v>
      </c>
      <c r="J230" s="20">
        <v>1.4885861170212766</v>
      </c>
      <c r="K230" s="20">
        <v>0.11967606382978725</v>
      </c>
      <c r="L230" s="20">
        <v>9.2058510638297884E-4</v>
      </c>
      <c r="M230" s="20" t="s">
        <v>131</v>
      </c>
      <c r="N230" s="20">
        <v>0</v>
      </c>
      <c r="O230" s="20">
        <v>0</v>
      </c>
      <c r="P230" s="20">
        <v>0</v>
      </c>
      <c r="Q230" s="20">
        <v>0</v>
      </c>
    </row>
    <row r="231" spans="2:17" ht="56.25" x14ac:dyDescent="0.25">
      <c r="B231" s="51" t="s">
        <v>117</v>
      </c>
      <c r="C231" s="76" t="s">
        <v>413</v>
      </c>
      <c r="D231" s="28" t="s">
        <v>322</v>
      </c>
      <c r="E231" s="21">
        <v>2020</v>
      </c>
      <c r="F231" s="21">
        <v>2020</v>
      </c>
      <c r="G231" s="20" t="s">
        <v>131</v>
      </c>
      <c r="H231" s="20">
        <v>0.13350000000000001</v>
      </c>
      <c r="I231" s="20">
        <v>9.0508474576271175E-3</v>
      </c>
      <c r="J231" s="20">
        <v>0.12897457627118644</v>
      </c>
      <c r="K231" s="20">
        <v>0</v>
      </c>
      <c r="L231" s="20">
        <v>-4.5254237288135588E-3</v>
      </c>
      <c r="M231" s="20" t="s">
        <v>131</v>
      </c>
      <c r="N231" s="20">
        <v>0</v>
      </c>
      <c r="O231" s="20">
        <v>0</v>
      </c>
      <c r="P231" s="20">
        <v>0</v>
      </c>
      <c r="Q231" s="20">
        <v>0</v>
      </c>
    </row>
    <row r="232" spans="2:17" ht="93.75" x14ac:dyDescent="0.25">
      <c r="B232" s="51" t="s">
        <v>117</v>
      </c>
      <c r="C232" s="76" t="s">
        <v>580</v>
      </c>
      <c r="D232" s="28" t="s">
        <v>323</v>
      </c>
      <c r="E232" s="21">
        <v>2020</v>
      </c>
      <c r="F232" s="21">
        <v>2021</v>
      </c>
      <c r="G232" s="20" t="s">
        <v>131</v>
      </c>
      <c r="H232" s="20">
        <v>8.6341000000000001</v>
      </c>
      <c r="I232" s="20">
        <v>0.34286136231884062</v>
      </c>
      <c r="J232" s="20">
        <v>5.5883899420289849</v>
      </c>
      <c r="K232" s="20">
        <v>2.2348554492753623</v>
      </c>
      <c r="L232" s="20">
        <v>0.46799324637681161</v>
      </c>
      <c r="M232" s="20" t="s">
        <v>131</v>
      </c>
      <c r="N232" s="20">
        <v>0</v>
      </c>
      <c r="O232" s="20">
        <v>0</v>
      </c>
      <c r="P232" s="20">
        <v>0</v>
      </c>
      <c r="Q232" s="20">
        <v>0</v>
      </c>
    </row>
    <row r="233" spans="2:17" ht="75" x14ac:dyDescent="0.25">
      <c r="B233" s="51" t="s">
        <v>117</v>
      </c>
      <c r="C233" s="76" t="s">
        <v>581</v>
      </c>
      <c r="D233" s="28" t="s">
        <v>324</v>
      </c>
      <c r="E233" s="21">
        <v>2020</v>
      </c>
      <c r="F233" s="21">
        <v>2023</v>
      </c>
      <c r="G233" s="20" t="s">
        <v>131</v>
      </c>
      <c r="H233" s="20">
        <v>6.4919000000000002</v>
      </c>
      <c r="I233" s="20">
        <v>0.45402025431425991</v>
      </c>
      <c r="J233" s="20">
        <v>4.2335914623069932</v>
      </c>
      <c r="K233" s="20">
        <v>1.58022633969119</v>
      </c>
      <c r="L233" s="20">
        <v>0.2240619436875568</v>
      </c>
      <c r="M233" s="20" t="s">
        <v>131</v>
      </c>
      <c r="N233" s="20">
        <v>6.0000000000000009</v>
      </c>
      <c r="O233" s="20">
        <v>6.74533</v>
      </c>
      <c r="P233" s="20">
        <v>0</v>
      </c>
      <c r="Q233" s="20">
        <v>6.74533</v>
      </c>
    </row>
    <row r="234" spans="2:17" ht="112.5" x14ac:dyDescent="0.25">
      <c r="B234" s="51" t="s">
        <v>117</v>
      </c>
      <c r="C234" s="76" t="s">
        <v>617</v>
      </c>
      <c r="D234" s="28" t="s">
        <v>325</v>
      </c>
      <c r="E234" s="21">
        <v>2020</v>
      </c>
      <c r="F234" s="21">
        <v>2024</v>
      </c>
      <c r="G234" s="20" t="s">
        <v>131</v>
      </c>
      <c r="H234" s="20">
        <v>14.690425619999999</v>
      </c>
      <c r="I234" s="20">
        <v>0.96083324325405373</v>
      </c>
      <c r="J234" s="20">
        <v>11.214485633660543</v>
      </c>
      <c r="K234" s="20">
        <v>2.4102885710940543</v>
      </c>
      <c r="L234" s="20">
        <v>0.10481817199135135</v>
      </c>
      <c r="M234" s="20" t="s">
        <v>131</v>
      </c>
      <c r="N234" s="20">
        <v>5.3413256199999992</v>
      </c>
      <c r="O234" s="20">
        <v>0.84132562</v>
      </c>
      <c r="P234" s="20">
        <v>4.5</v>
      </c>
      <c r="Q234" s="20">
        <v>5.3413256200000001</v>
      </c>
    </row>
    <row r="235" spans="2:17" ht="56.25" x14ac:dyDescent="0.25">
      <c r="B235" s="51" t="s">
        <v>117</v>
      </c>
      <c r="C235" s="76" t="s">
        <v>414</v>
      </c>
      <c r="D235" s="28" t="s">
        <v>326</v>
      </c>
      <c r="E235" s="21">
        <v>2021</v>
      </c>
      <c r="F235" s="21">
        <v>2023</v>
      </c>
      <c r="G235" s="20" t="s">
        <v>131</v>
      </c>
      <c r="H235" s="20">
        <v>7.6236599999999992</v>
      </c>
      <c r="I235" s="20">
        <v>0.49791683599419456</v>
      </c>
      <c r="J235" s="20">
        <v>2.9856568795355587</v>
      </c>
      <c r="K235" s="20">
        <v>3.695649404934688</v>
      </c>
      <c r="L235" s="20">
        <v>0.44443687953555866</v>
      </c>
      <c r="M235" s="20" t="s">
        <v>131</v>
      </c>
      <c r="N235" s="20">
        <v>6.5919599999999994</v>
      </c>
      <c r="O235" s="20">
        <v>6.5919599999999994</v>
      </c>
      <c r="P235" s="20">
        <v>0</v>
      </c>
      <c r="Q235" s="20">
        <v>6.5919599999999994</v>
      </c>
    </row>
    <row r="236" spans="2:17" ht="18.75" x14ac:dyDescent="0.25">
      <c r="B236" s="51" t="s">
        <v>117</v>
      </c>
      <c r="C236" s="76" t="s">
        <v>494</v>
      </c>
      <c r="D236" s="28" t="s">
        <v>484</v>
      </c>
      <c r="E236" s="21">
        <v>2021</v>
      </c>
      <c r="F236" s="21">
        <v>2023</v>
      </c>
      <c r="G236" s="28" t="s">
        <v>131</v>
      </c>
      <c r="H236" s="20">
        <v>598.68709999999987</v>
      </c>
      <c r="I236" s="20">
        <v>41.908096999999998</v>
      </c>
      <c r="J236" s="20">
        <v>490.92342199999985</v>
      </c>
      <c r="K236" s="20">
        <v>17.960612999999995</v>
      </c>
      <c r="L236" s="20">
        <v>47.894967999999992</v>
      </c>
      <c r="M236" s="20" t="s">
        <v>131</v>
      </c>
      <c r="N236" s="20">
        <v>149.99999999999989</v>
      </c>
      <c r="O236" s="20">
        <v>150</v>
      </c>
      <c r="P236" s="20">
        <v>0</v>
      </c>
      <c r="Q236" s="20">
        <v>150</v>
      </c>
    </row>
    <row r="237" spans="2:17" ht="37.5" x14ac:dyDescent="0.25">
      <c r="B237" s="51" t="s">
        <v>117</v>
      </c>
      <c r="C237" s="76" t="s">
        <v>415</v>
      </c>
      <c r="D237" s="28" t="s">
        <v>327</v>
      </c>
      <c r="E237" s="21">
        <v>2021</v>
      </c>
      <c r="F237" s="21">
        <v>2022</v>
      </c>
      <c r="G237" s="28" t="s">
        <v>131</v>
      </c>
      <c r="H237" s="20">
        <v>3.2313000000000001</v>
      </c>
      <c r="I237" s="20">
        <v>0.29080693498865307</v>
      </c>
      <c r="J237" s="20">
        <v>0.71087737284741692</v>
      </c>
      <c r="K237" s="20">
        <v>2.1003521892938197</v>
      </c>
      <c r="L237" s="20">
        <v>0.12926350287011082</v>
      </c>
      <c r="M237" s="20" t="s">
        <v>131</v>
      </c>
      <c r="N237" s="20">
        <v>-2.2204460492503131E-16</v>
      </c>
      <c r="O237" s="20">
        <v>0</v>
      </c>
      <c r="P237" s="20">
        <v>0</v>
      </c>
      <c r="Q237" s="20">
        <v>0</v>
      </c>
    </row>
    <row r="238" spans="2:17" ht="37.5" x14ac:dyDescent="0.25">
      <c r="B238" s="51" t="s">
        <v>117</v>
      </c>
      <c r="C238" s="76" t="s">
        <v>417</v>
      </c>
      <c r="D238" s="28" t="s">
        <v>329</v>
      </c>
      <c r="E238" s="21">
        <v>2021</v>
      </c>
      <c r="F238" s="21">
        <v>2023</v>
      </c>
      <c r="G238" s="20" t="s">
        <v>131</v>
      </c>
      <c r="H238" s="20">
        <v>18.802999999999997</v>
      </c>
      <c r="I238" s="20">
        <v>1.692692400416415</v>
      </c>
      <c r="J238" s="20">
        <v>4.1364333461180189</v>
      </c>
      <c r="K238" s="20">
        <v>12.221795463262284</v>
      </c>
      <c r="L238" s="20">
        <v>0.75207879020327639</v>
      </c>
      <c r="M238" s="20" t="s">
        <v>131</v>
      </c>
      <c r="N238" s="20">
        <v>5.5349999999999984</v>
      </c>
      <c r="O238" s="20">
        <v>5.5350000000000001</v>
      </c>
      <c r="P238" s="20">
        <v>0</v>
      </c>
      <c r="Q238" s="20">
        <v>5.5350000000000001</v>
      </c>
    </row>
    <row r="239" spans="2:17" ht="37.5" x14ac:dyDescent="0.25">
      <c r="B239" s="51" t="s">
        <v>117</v>
      </c>
      <c r="C239" s="76" t="s">
        <v>416</v>
      </c>
      <c r="D239" s="28" t="s">
        <v>328</v>
      </c>
      <c r="E239" s="21">
        <v>2021</v>
      </c>
      <c r="F239" s="21">
        <v>2023</v>
      </c>
      <c r="G239" s="20" t="s">
        <v>131</v>
      </c>
      <c r="H239" s="20">
        <v>32.010999999999996</v>
      </c>
      <c r="I239" s="20">
        <v>2.880787797718575</v>
      </c>
      <c r="J239" s="20">
        <v>7.0425865195258792</v>
      </c>
      <c r="K239" s="20">
        <v>20.806614758666811</v>
      </c>
      <c r="L239" s="20">
        <v>1.2810109240887304</v>
      </c>
      <c r="M239" s="20" t="s">
        <v>131</v>
      </c>
      <c r="N239" s="20">
        <v>16.795099999999998</v>
      </c>
      <c r="O239" s="20">
        <v>0.92510000000000003</v>
      </c>
      <c r="P239" s="20">
        <v>15.87</v>
      </c>
      <c r="Q239" s="20">
        <v>16.795099999999998</v>
      </c>
    </row>
    <row r="240" spans="2:17" ht="37.5" x14ac:dyDescent="0.25">
      <c r="B240" s="51" t="s">
        <v>117</v>
      </c>
      <c r="C240" s="76" t="s">
        <v>418</v>
      </c>
      <c r="D240" s="28" t="s">
        <v>330</v>
      </c>
      <c r="E240" s="21">
        <v>2020</v>
      </c>
      <c r="F240" s="21">
        <v>2024</v>
      </c>
      <c r="G240" s="20" t="s">
        <v>131</v>
      </c>
      <c r="H240" s="20">
        <v>32.374600000000001</v>
      </c>
      <c r="I240" s="20">
        <v>2.9134285097001764</v>
      </c>
      <c r="J240" s="20">
        <v>7.1222692548500879</v>
      </c>
      <c r="K240" s="20">
        <v>21.044203725749558</v>
      </c>
      <c r="L240" s="20">
        <v>1.2946985097001764</v>
      </c>
      <c r="M240" s="20" t="s">
        <v>131</v>
      </c>
      <c r="N240" s="20">
        <v>8.0500000000000007</v>
      </c>
      <c r="O240" s="20">
        <v>0</v>
      </c>
      <c r="P240" s="20">
        <v>8.0500000000000007</v>
      </c>
      <c r="Q240" s="20">
        <v>8.0500000000000007</v>
      </c>
    </row>
    <row r="241" spans="2:17" ht="37.5" x14ac:dyDescent="0.25">
      <c r="B241" s="51" t="s">
        <v>117</v>
      </c>
      <c r="C241" s="76" t="s">
        <v>419</v>
      </c>
      <c r="D241" s="28" t="s">
        <v>331</v>
      </c>
      <c r="E241" s="21">
        <v>2024</v>
      </c>
      <c r="F241" s="21">
        <v>2024</v>
      </c>
      <c r="G241" s="20" t="s">
        <v>131</v>
      </c>
      <c r="H241" s="20">
        <v>3.92</v>
      </c>
      <c r="I241" s="20">
        <v>0.35274492272320862</v>
      </c>
      <c r="J241" s="20">
        <v>0.86246008430195431</v>
      </c>
      <c r="K241" s="20">
        <v>2.5480751053774431</v>
      </c>
      <c r="L241" s="20">
        <v>0.1567198875973943</v>
      </c>
      <c r="M241" s="20" t="s">
        <v>131</v>
      </c>
      <c r="N241" s="20">
        <v>3.92</v>
      </c>
      <c r="O241" s="20">
        <v>0</v>
      </c>
      <c r="P241" s="20">
        <v>3.92</v>
      </c>
      <c r="Q241" s="20">
        <v>3.92</v>
      </c>
    </row>
    <row r="242" spans="2:17" ht="56.25" x14ac:dyDescent="0.25">
      <c r="B242" s="51" t="s">
        <v>117</v>
      </c>
      <c r="C242" s="76" t="s">
        <v>421</v>
      </c>
      <c r="D242" s="28" t="s">
        <v>333</v>
      </c>
      <c r="E242" s="21">
        <v>2024</v>
      </c>
      <c r="F242" s="21">
        <v>2024</v>
      </c>
      <c r="G242" s="20" t="s">
        <v>131</v>
      </c>
      <c r="H242" s="20">
        <v>18.34</v>
      </c>
      <c r="I242" s="20">
        <v>1.6504768300873069</v>
      </c>
      <c r="J242" s="20">
        <v>4.0344989179911952</v>
      </c>
      <c r="K242" s="20">
        <v>11.921478994104918</v>
      </c>
      <c r="L242" s="20">
        <v>0.73354525781658086</v>
      </c>
      <c r="M242" s="20" t="s">
        <v>131</v>
      </c>
      <c r="N242" s="20">
        <v>18.34</v>
      </c>
      <c r="O242" s="20">
        <v>0</v>
      </c>
      <c r="P242" s="20">
        <v>18.34</v>
      </c>
      <c r="Q242" s="20">
        <v>18.34</v>
      </c>
    </row>
    <row r="243" spans="2:17" ht="37.5" x14ac:dyDescent="0.25">
      <c r="B243" s="51" t="s">
        <v>117</v>
      </c>
      <c r="C243" s="76" t="s">
        <v>420</v>
      </c>
      <c r="D243" s="28" t="s">
        <v>332</v>
      </c>
      <c r="E243" s="21">
        <v>2021</v>
      </c>
      <c r="F243" s="21">
        <v>2024</v>
      </c>
      <c r="G243" s="20" t="s">
        <v>131</v>
      </c>
      <c r="H243" s="20">
        <v>49.996499999999997</v>
      </c>
      <c r="I243" s="20">
        <v>4.4995218260443872</v>
      </c>
      <c r="J243" s="20">
        <v>10.998944445577678</v>
      </c>
      <c r="K243" s="20">
        <v>32.498132934889036</v>
      </c>
      <c r="L243" s="20">
        <v>1.9999007934889035</v>
      </c>
      <c r="M243" s="20" t="s">
        <v>131</v>
      </c>
      <c r="N243" s="20">
        <v>47.198999999999998</v>
      </c>
      <c r="O243" s="20">
        <v>39.149000000000001</v>
      </c>
      <c r="P243" s="20">
        <v>8.0500000000000007</v>
      </c>
      <c r="Q243" s="20">
        <v>47.198999999999998</v>
      </c>
    </row>
    <row r="244" spans="2:17" ht="37.5" x14ac:dyDescent="0.25">
      <c r="B244" s="51" t="s">
        <v>117</v>
      </c>
      <c r="C244" s="76" t="s">
        <v>422</v>
      </c>
      <c r="D244" s="28" t="s">
        <v>334</v>
      </c>
      <c r="E244" s="21">
        <v>2020</v>
      </c>
      <c r="F244" s="21">
        <v>2024</v>
      </c>
      <c r="G244" s="20" t="s">
        <v>131</v>
      </c>
      <c r="H244" s="20">
        <v>9.9596</v>
      </c>
      <c r="I244" s="20">
        <v>0.89629558049003899</v>
      </c>
      <c r="J244" s="20">
        <v>2.190944752308984</v>
      </c>
      <c r="K244" s="20">
        <v>6.4740060758720714</v>
      </c>
      <c r="L244" s="20">
        <v>0.39835359132890624</v>
      </c>
      <c r="M244" s="20" t="s">
        <v>131</v>
      </c>
      <c r="N244" s="20">
        <v>0.40000000000000036</v>
      </c>
      <c r="O244" s="20">
        <v>0</v>
      </c>
      <c r="P244" s="20">
        <v>0.4</v>
      </c>
      <c r="Q244" s="20">
        <v>0.4</v>
      </c>
    </row>
    <row r="245" spans="2:17" ht="37.5" x14ac:dyDescent="0.25">
      <c r="B245" s="51" t="s">
        <v>117</v>
      </c>
      <c r="C245" s="76" t="s">
        <v>423</v>
      </c>
      <c r="D245" s="28" t="s">
        <v>335</v>
      </c>
      <c r="E245" s="21">
        <v>2020</v>
      </c>
      <c r="F245" s="21">
        <v>2020</v>
      </c>
      <c r="G245" s="20" t="s">
        <v>131</v>
      </c>
      <c r="H245" s="20">
        <v>25.4026</v>
      </c>
      <c r="I245" s="20">
        <v>2.2860074222731903</v>
      </c>
      <c r="J245" s="20">
        <v>5.5883777905198766</v>
      </c>
      <c r="K245" s="20">
        <v>16.511851841233433</v>
      </c>
      <c r="L245" s="20">
        <v>1.0163629459734964</v>
      </c>
      <c r="M245" s="20" t="s">
        <v>131</v>
      </c>
      <c r="N245" s="20">
        <v>0</v>
      </c>
      <c r="O245" s="20">
        <v>0</v>
      </c>
      <c r="P245" s="20">
        <v>0</v>
      </c>
      <c r="Q245" s="20">
        <v>0</v>
      </c>
    </row>
    <row r="246" spans="2:17" ht="18.75" x14ac:dyDescent="0.25">
      <c r="B246" s="51" t="s">
        <v>117</v>
      </c>
      <c r="C246" s="137" t="s">
        <v>532</v>
      </c>
      <c r="D246" s="72" t="s">
        <v>533</v>
      </c>
      <c r="E246" s="21">
        <v>2022</v>
      </c>
      <c r="F246" s="21">
        <v>2024</v>
      </c>
      <c r="G246" s="20" t="s">
        <v>131</v>
      </c>
      <c r="H246" s="20">
        <v>275.8338</v>
      </c>
      <c r="I246" s="20">
        <v>24.825042</v>
      </c>
      <c r="J246" s="20">
        <v>60.683436</v>
      </c>
      <c r="K246" s="20">
        <v>179.29196999999999</v>
      </c>
      <c r="L246" s="20">
        <v>11.033352000000001</v>
      </c>
      <c r="M246" s="20" t="s">
        <v>131</v>
      </c>
      <c r="N246" s="20">
        <v>236.32079999999999</v>
      </c>
      <c r="O246" s="20">
        <v>53.870800000000003</v>
      </c>
      <c r="P246" s="20">
        <v>182.45</v>
      </c>
      <c r="Q246" s="20">
        <v>236.32079999999999</v>
      </c>
    </row>
    <row r="247" spans="2:17" ht="56.25" x14ac:dyDescent="0.25">
      <c r="B247" s="51" t="s">
        <v>117</v>
      </c>
      <c r="C247" s="76" t="s">
        <v>424</v>
      </c>
      <c r="D247" s="28" t="s">
        <v>336</v>
      </c>
      <c r="E247" s="21">
        <v>2020</v>
      </c>
      <c r="F247" s="21">
        <v>2020</v>
      </c>
      <c r="G247" s="20" t="s">
        <v>131</v>
      </c>
      <c r="H247" s="20">
        <v>1.421</v>
      </c>
      <c r="I247" s="20">
        <v>0.1279200105596621</v>
      </c>
      <c r="J247" s="20">
        <v>0.31260999648011267</v>
      </c>
      <c r="K247" s="20">
        <v>0.92357497360084495</v>
      </c>
      <c r="L247" s="20">
        <v>5.689501935938051E-2</v>
      </c>
      <c r="M247" s="20" t="s">
        <v>131</v>
      </c>
      <c r="N247" s="20">
        <v>0</v>
      </c>
      <c r="O247" s="20">
        <v>0</v>
      </c>
      <c r="P247" s="20">
        <v>0</v>
      </c>
      <c r="Q247" s="20">
        <v>0</v>
      </c>
    </row>
    <row r="248" spans="2:17" ht="56.25" x14ac:dyDescent="0.25">
      <c r="B248" s="51" t="s">
        <v>117</v>
      </c>
      <c r="C248" s="76" t="s">
        <v>425</v>
      </c>
      <c r="D248" s="28" t="s">
        <v>337</v>
      </c>
      <c r="E248" s="21">
        <v>2020</v>
      </c>
      <c r="F248" s="21">
        <v>2020</v>
      </c>
      <c r="G248" s="20" t="s">
        <v>131</v>
      </c>
      <c r="H248" s="20">
        <v>1.5984</v>
      </c>
      <c r="I248" s="20">
        <v>0.14390287390029324</v>
      </c>
      <c r="J248" s="20">
        <v>0.3515542521994135</v>
      </c>
      <c r="K248" s="20">
        <v>1.0389599999999999</v>
      </c>
      <c r="L248" s="20">
        <v>6.3982873900293266E-2</v>
      </c>
      <c r="M248" s="20" t="s">
        <v>131</v>
      </c>
      <c r="N248" s="20">
        <v>0</v>
      </c>
      <c r="O248" s="20">
        <v>0</v>
      </c>
      <c r="P248" s="20">
        <v>0</v>
      </c>
      <c r="Q248" s="20">
        <v>0</v>
      </c>
    </row>
    <row r="249" spans="2:17" ht="56.25" x14ac:dyDescent="0.25">
      <c r="B249" s="51" t="s">
        <v>117</v>
      </c>
      <c r="C249" s="76" t="s">
        <v>426</v>
      </c>
      <c r="D249" s="28" t="s">
        <v>338</v>
      </c>
      <c r="E249" s="21">
        <v>2020</v>
      </c>
      <c r="F249" s="21">
        <v>2020</v>
      </c>
      <c r="G249" s="20" t="s">
        <v>131</v>
      </c>
      <c r="H249" s="20">
        <v>10.4459</v>
      </c>
      <c r="I249" s="20">
        <v>0.94022967477846242</v>
      </c>
      <c r="J249" s="20">
        <v>2.2981825783815393</v>
      </c>
      <c r="K249" s="20">
        <v>6.7897645180153825</v>
      </c>
      <c r="L249" s="20">
        <v>0.41772322882461421</v>
      </c>
      <c r="M249" s="20" t="s">
        <v>131</v>
      </c>
      <c r="N249" s="20">
        <v>0</v>
      </c>
      <c r="O249" s="20">
        <v>0</v>
      </c>
      <c r="P249" s="20">
        <v>0</v>
      </c>
      <c r="Q249" s="20">
        <v>0</v>
      </c>
    </row>
    <row r="250" spans="2:17" ht="56.25" x14ac:dyDescent="0.25">
      <c r="B250" s="51" t="s">
        <v>117</v>
      </c>
      <c r="C250" s="76" t="s">
        <v>427</v>
      </c>
      <c r="D250" s="28" t="s">
        <v>339</v>
      </c>
      <c r="E250" s="21">
        <v>2020</v>
      </c>
      <c r="F250" s="21">
        <v>2020</v>
      </c>
      <c r="G250" s="20" t="s">
        <v>131</v>
      </c>
      <c r="H250" s="20">
        <v>0.61370000000000002</v>
      </c>
      <c r="I250" s="20">
        <v>5.5228358961431821E-2</v>
      </c>
      <c r="J250" s="20">
        <v>0.13505422233425765</v>
      </c>
      <c r="K250" s="20">
        <v>0.39881991429291658</v>
      </c>
      <c r="L250" s="20">
        <v>2.4597504411394005E-2</v>
      </c>
      <c r="M250" s="20" t="s">
        <v>131</v>
      </c>
      <c r="N250" s="20">
        <v>0</v>
      </c>
      <c r="O250" s="20">
        <v>0</v>
      </c>
      <c r="P250" s="20">
        <v>0</v>
      </c>
      <c r="Q250" s="20">
        <v>0</v>
      </c>
    </row>
    <row r="251" spans="2:17" ht="56.25" x14ac:dyDescent="0.25">
      <c r="B251" s="51" t="s">
        <v>117</v>
      </c>
      <c r="C251" s="76" t="s">
        <v>428</v>
      </c>
      <c r="D251" s="28" t="s">
        <v>340</v>
      </c>
      <c r="E251" s="21">
        <v>2020</v>
      </c>
      <c r="F251" s="21">
        <v>2020</v>
      </c>
      <c r="G251" s="20" t="s">
        <v>131</v>
      </c>
      <c r="H251" s="20">
        <v>0.84960000000000002</v>
      </c>
      <c r="I251" s="20">
        <v>7.6637051406401563E-2</v>
      </c>
      <c r="J251" s="20">
        <v>0.18706032977691561</v>
      </c>
      <c r="K251" s="20">
        <v>0.55211639185257044</v>
      </c>
      <c r="L251" s="20">
        <v>3.3786226964112522E-2</v>
      </c>
      <c r="M251" s="20" t="s">
        <v>131</v>
      </c>
      <c r="N251" s="20">
        <v>0</v>
      </c>
      <c r="O251" s="20">
        <v>0</v>
      </c>
      <c r="P251" s="20">
        <v>0</v>
      </c>
      <c r="Q251" s="20">
        <v>0</v>
      </c>
    </row>
    <row r="252" spans="2:17" ht="56.25" x14ac:dyDescent="0.25">
      <c r="B252" s="51" t="s">
        <v>117</v>
      </c>
      <c r="C252" s="76" t="s">
        <v>467</v>
      </c>
      <c r="D252" s="28" t="s">
        <v>342</v>
      </c>
      <c r="E252" s="21">
        <v>2021</v>
      </c>
      <c r="F252" s="21">
        <v>2021</v>
      </c>
      <c r="G252" s="20" t="s">
        <v>131</v>
      </c>
      <c r="H252" s="20">
        <v>68.8262</v>
      </c>
      <c r="I252" s="20">
        <v>4.1283858304297327</v>
      </c>
      <c r="J252" s="20">
        <v>30.971918931475027</v>
      </c>
      <c r="K252" s="20">
        <v>30.28342485481998</v>
      </c>
      <c r="L252" s="20">
        <v>3.442470383275261</v>
      </c>
      <c r="M252" s="20" t="s">
        <v>131</v>
      </c>
      <c r="N252" s="20">
        <v>0</v>
      </c>
      <c r="O252" s="20">
        <v>0</v>
      </c>
      <c r="P252" s="20">
        <v>0</v>
      </c>
      <c r="Q252" s="20">
        <v>0</v>
      </c>
    </row>
    <row r="253" spans="2:17" ht="56.25" x14ac:dyDescent="0.25">
      <c r="B253" s="51" t="s">
        <v>117</v>
      </c>
      <c r="C253" s="76" t="s">
        <v>469</v>
      </c>
      <c r="D253" s="28" t="s">
        <v>344</v>
      </c>
      <c r="E253" s="21">
        <v>2020</v>
      </c>
      <c r="F253" s="21">
        <v>2021</v>
      </c>
      <c r="G253" s="20" t="s">
        <v>131</v>
      </c>
      <c r="H253" s="20">
        <v>72.674800000000005</v>
      </c>
      <c r="I253" s="20">
        <v>6.5407320000000011</v>
      </c>
      <c r="J253" s="20">
        <v>15.988456000000003</v>
      </c>
      <c r="K253" s="20">
        <v>47.238620000000004</v>
      </c>
      <c r="L253" s="20">
        <v>2.9069920000000002</v>
      </c>
      <c r="M253" s="20" t="s">
        <v>131</v>
      </c>
      <c r="N253" s="20">
        <v>0</v>
      </c>
      <c r="O253" s="20">
        <v>0</v>
      </c>
      <c r="P253" s="20">
        <v>0</v>
      </c>
      <c r="Q253" s="20">
        <v>0</v>
      </c>
    </row>
    <row r="254" spans="2:17" ht="56.25" x14ac:dyDescent="0.25">
      <c r="B254" s="51" t="s">
        <v>117</v>
      </c>
      <c r="C254" s="76" t="s">
        <v>468</v>
      </c>
      <c r="D254" s="28" t="s">
        <v>343</v>
      </c>
      <c r="E254" s="21">
        <v>2020</v>
      </c>
      <c r="F254" s="21">
        <v>2021</v>
      </c>
      <c r="G254" s="20" t="s">
        <v>131</v>
      </c>
      <c r="H254" s="20">
        <v>60.298299999999998</v>
      </c>
      <c r="I254" s="20">
        <v>5.4271299577663061</v>
      </c>
      <c r="J254" s="20">
        <v>13.265060084467384</v>
      </c>
      <c r="K254" s="20">
        <v>39.19530978883153</v>
      </c>
      <c r="L254" s="20">
        <v>2.410800168934772</v>
      </c>
      <c r="M254" s="20" t="s">
        <v>131</v>
      </c>
      <c r="N254" s="20">
        <v>0</v>
      </c>
      <c r="O254" s="20">
        <v>0</v>
      </c>
      <c r="P254" s="20">
        <v>0</v>
      </c>
      <c r="Q254" s="20">
        <v>0</v>
      </c>
    </row>
    <row r="255" spans="2:17" ht="56.25" x14ac:dyDescent="0.25">
      <c r="B255" s="51" t="s">
        <v>117</v>
      </c>
      <c r="C255" s="76" t="s">
        <v>470</v>
      </c>
      <c r="D255" s="28" t="s">
        <v>345</v>
      </c>
      <c r="E255" s="21">
        <v>2020</v>
      </c>
      <c r="F255" s="21">
        <v>2021</v>
      </c>
      <c r="G255" s="20" t="s">
        <v>131</v>
      </c>
      <c r="H255" s="20">
        <v>58.956699999999998</v>
      </c>
      <c r="I255" s="20">
        <v>5.3062278818047011</v>
      </c>
      <c r="J255" s="20">
        <v>12.970224236390591</v>
      </c>
      <c r="K255" s="20">
        <v>38.322479409023515</v>
      </c>
      <c r="L255" s="20">
        <v>2.3577684727811898</v>
      </c>
      <c r="M255" s="20" t="s">
        <v>131</v>
      </c>
      <c r="N255" s="20">
        <v>0</v>
      </c>
      <c r="O255" s="20">
        <v>0</v>
      </c>
      <c r="P255" s="20">
        <v>0</v>
      </c>
      <c r="Q255" s="20">
        <v>0</v>
      </c>
    </row>
    <row r="256" spans="2:17" ht="56.25" x14ac:dyDescent="0.25">
      <c r="B256" s="51" t="s">
        <v>117</v>
      </c>
      <c r="C256" s="76" t="s">
        <v>471</v>
      </c>
      <c r="D256" s="28" t="s">
        <v>346</v>
      </c>
      <c r="E256" s="21">
        <v>2020</v>
      </c>
      <c r="F256" s="21">
        <v>2021</v>
      </c>
      <c r="G256" s="20" t="s">
        <v>131</v>
      </c>
      <c r="H256" s="20">
        <v>91.888400000000004</v>
      </c>
      <c r="I256" s="20">
        <v>8.2699560000000005</v>
      </c>
      <c r="J256" s="20">
        <v>20.215447999999999</v>
      </c>
      <c r="K256" s="20">
        <v>59.727460000000008</v>
      </c>
      <c r="L256" s="20">
        <v>3.6755359999999997</v>
      </c>
      <c r="M256" s="20" t="s">
        <v>131</v>
      </c>
      <c r="N256" s="20">
        <v>0</v>
      </c>
      <c r="O256" s="20">
        <v>0</v>
      </c>
      <c r="P256" s="20">
        <v>0</v>
      </c>
      <c r="Q256" s="20">
        <v>0</v>
      </c>
    </row>
    <row r="257" spans="1:17" ht="56.25" x14ac:dyDescent="0.25">
      <c r="B257" s="51" t="s">
        <v>117</v>
      </c>
      <c r="C257" s="76" t="s">
        <v>473</v>
      </c>
      <c r="D257" s="28" t="s">
        <v>485</v>
      </c>
      <c r="E257" s="21">
        <v>2021</v>
      </c>
      <c r="F257" s="21">
        <v>2021</v>
      </c>
      <c r="G257" s="20" t="s">
        <v>131</v>
      </c>
      <c r="H257" s="20">
        <v>6.4809999999999999</v>
      </c>
      <c r="I257" s="20">
        <v>0.58328999999999998</v>
      </c>
      <c r="J257" s="20">
        <v>1.4258200000000001</v>
      </c>
      <c r="K257" s="20">
        <v>4.21265</v>
      </c>
      <c r="L257" s="20">
        <v>0.25924000000000003</v>
      </c>
      <c r="M257" s="20" t="s">
        <v>131</v>
      </c>
      <c r="N257" s="20">
        <v>0</v>
      </c>
      <c r="O257" s="20">
        <v>0</v>
      </c>
      <c r="P257" s="20">
        <v>0</v>
      </c>
      <c r="Q257" s="20">
        <v>0</v>
      </c>
    </row>
    <row r="258" spans="1:17" ht="56.25" x14ac:dyDescent="0.25">
      <c r="B258" s="51" t="s">
        <v>117</v>
      </c>
      <c r="C258" s="76" t="s">
        <v>472</v>
      </c>
      <c r="D258" s="28" t="s">
        <v>347</v>
      </c>
      <c r="E258" s="21">
        <v>2021</v>
      </c>
      <c r="F258" s="21">
        <v>2021</v>
      </c>
      <c r="G258" s="20" t="s">
        <v>131</v>
      </c>
      <c r="H258" s="20">
        <v>41.053800000000003</v>
      </c>
      <c r="I258" s="20">
        <v>3.6948419999999995</v>
      </c>
      <c r="J258" s="20">
        <v>9.0312392877906973</v>
      </c>
      <c r="K258" s="20">
        <v>26.683179863372089</v>
      </c>
      <c r="L258" s="20">
        <v>1.644538848837209</v>
      </c>
      <c r="M258" s="20" t="s">
        <v>131</v>
      </c>
      <c r="N258" s="20">
        <v>0</v>
      </c>
      <c r="O258" s="20">
        <v>0</v>
      </c>
      <c r="P258" s="20">
        <v>0</v>
      </c>
      <c r="Q258" s="20">
        <v>0</v>
      </c>
    </row>
    <row r="259" spans="1:17" ht="56.25" x14ac:dyDescent="0.25">
      <c r="B259" s="51" t="s">
        <v>117</v>
      </c>
      <c r="C259" s="76" t="s">
        <v>474</v>
      </c>
      <c r="D259" s="28" t="s">
        <v>440</v>
      </c>
      <c r="E259" s="21">
        <v>2021</v>
      </c>
      <c r="F259" s="21">
        <v>2021</v>
      </c>
      <c r="G259" s="20" t="s">
        <v>131</v>
      </c>
      <c r="H259" s="20">
        <v>21.2822</v>
      </c>
      <c r="I259" s="20">
        <v>1.9153979999999999</v>
      </c>
      <c r="J259" s="20">
        <v>4.6820839999999997</v>
      </c>
      <c r="K259" s="20">
        <v>13.83343</v>
      </c>
      <c r="L259" s="20">
        <v>0.85128800000000004</v>
      </c>
      <c r="M259" s="20" t="s">
        <v>131</v>
      </c>
      <c r="N259" s="20">
        <v>0</v>
      </c>
      <c r="O259" s="20">
        <v>0</v>
      </c>
      <c r="P259" s="20">
        <v>0</v>
      </c>
      <c r="Q259" s="20">
        <v>0</v>
      </c>
    </row>
    <row r="260" spans="1:17" ht="89.25" customHeight="1" x14ac:dyDescent="0.25">
      <c r="B260" s="51" t="s">
        <v>117</v>
      </c>
      <c r="C260" s="76" t="s">
        <v>475</v>
      </c>
      <c r="D260" s="28" t="s">
        <v>441</v>
      </c>
      <c r="E260" s="21">
        <v>2021</v>
      </c>
      <c r="F260" s="21">
        <v>2021</v>
      </c>
      <c r="G260" s="20" t="s">
        <v>131</v>
      </c>
      <c r="H260" s="20">
        <v>26.879000000000001</v>
      </c>
      <c r="I260" s="20">
        <v>2.4191099999999999</v>
      </c>
      <c r="J260" s="20">
        <v>5.9133800000000001</v>
      </c>
      <c r="K260" s="20">
        <v>17.471350000000001</v>
      </c>
      <c r="L260" s="20">
        <v>1.0751600000000001</v>
      </c>
      <c r="M260" s="20" t="s">
        <v>131</v>
      </c>
      <c r="N260" s="20">
        <v>0</v>
      </c>
      <c r="O260" s="20">
        <v>0</v>
      </c>
      <c r="P260" s="20">
        <v>0</v>
      </c>
      <c r="Q260" s="20">
        <v>0</v>
      </c>
    </row>
    <row r="261" spans="1:17" ht="74.25" customHeight="1" x14ac:dyDescent="0.25">
      <c r="B261" s="51" t="s">
        <v>117</v>
      </c>
      <c r="C261" s="76" t="s">
        <v>476</v>
      </c>
      <c r="D261" s="28" t="s">
        <v>350</v>
      </c>
      <c r="E261" s="21">
        <v>2020</v>
      </c>
      <c r="F261" s="21">
        <v>2021</v>
      </c>
      <c r="G261" s="20" t="s">
        <v>131</v>
      </c>
      <c r="H261" s="20">
        <v>53.429399999999994</v>
      </c>
      <c r="I261" s="20">
        <v>4.8086460000000004</v>
      </c>
      <c r="J261" s="20">
        <v>11.754467999999997</v>
      </c>
      <c r="K261" s="20">
        <v>34.729109999999999</v>
      </c>
      <c r="L261" s="20">
        <v>2.1371759999999997</v>
      </c>
      <c r="M261" s="20" t="s">
        <v>131</v>
      </c>
      <c r="N261" s="20">
        <v>0</v>
      </c>
      <c r="O261" s="20">
        <v>0</v>
      </c>
      <c r="P261" s="20">
        <v>0</v>
      </c>
      <c r="Q261" s="20">
        <v>0</v>
      </c>
    </row>
    <row r="262" spans="1:17" ht="85.5" customHeight="1" x14ac:dyDescent="0.25">
      <c r="B262" s="51" t="s">
        <v>117</v>
      </c>
      <c r="C262" s="76" t="s">
        <v>646</v>
      </c>
      <c r="D262" s="28" t="s">
        <v>510</v>
      </c>
      <c r="E262" s="21">
        <v>2020</v>
      </c>
      <c r="F262" s="21">
        <v>2022</v>
      </c>
      <c r="G262" s="20" t="s">
        <v>131</v>
      </c>
      <c r="H262" s="20">
        <v>285.9914</v>
      </c>
      <c r="I262" s="20">
        <v>0</v>
      </c>
      <c r="J262" s="20">
        <v>0</v>
      </c>
      <c r="K262" s="20">
        <v>285.9914</v>
      </c>
      <c r="L262" s="20">
        <v>0</v>
      </c>
      <c r="M262" s="20" t="s">
        <v>131</v>
      </c>
      <c r="N262" s="20">
        <v>-1.4210854715202004E-14</v>
      </c>
      <c r="O262" s="20">
        <v>0</v>
      </c>
      <c r="P262" s="20">
        <v>0</v>
      </c>
      <c r="Q262" s="20">
        <v>0</v>
      </c>
    </row>
    <row r="263" spans="1:17" ht="68.25" customHeight="1" x14ac:dyDescent="0.25">
      <c r="B263" s="51" t="s">
        <v>117</v>
      </c>
      <c r="C263" s="76" t="s">
        <v>605</v>
      </c>
      <c r="D263" s="28" t="s">
        <v>511</v>
      </c>
      <c r="E263" s="21">
        <v>2020</v>
      </c>
      <c r="F263" s="21">
        <v>2024</v>
      </c>
      <c r="G263" s="20" t="s">
        <v>131</v>
      </c>
      <c r="H263" s="20">
        <v>3787.5311999999999</v>
      </c>
      <c r="I263" s="20">
        <v>0</v>
      </c>
      <c r="J263" s="20">
        <v>0</v>
      </c>
      <c r="K263" s="20">
        <v>0</v>
      </c>
      <c r="L263" s="20">
        <v>3787.5311999999999</v>
      </c>
      <c r="M263" s="20" t="s">
        <v>131</v>
      </c>
      <c r="N263" s="20">
        <v>1550.8886999999997</v>
      </c>
      <c r="O263" s="20">
        <v>895.08970000000011</v>
      </c>
      <c r="P263" s="20">
        <v>655.79899999999998</v>
      </c>
      <c r="Q263" s="20">
        <v>1550.8887</v>
      </c>
    </row>
    <row r="264" spans="1:17" ht="81" customHeight="1" x14ac:dyDescent="0.25">
      <c r="B264" s="51" t="s">
        <v>117</v>
      </c>
      <c r="C264" s="76" t="s">
        <v>582</v>
      </c>
      <c r="D264" s="28" t="s">
        <v>351</v>
      </c>
      <c r="E264" s="21">
        <v>2020</v>
      </c>
      <c r="F264" s="21">
        <v>2024</v>
      </c>
      <c r="G264" s="20" t="s">
        <v>131</v>
      </c>
      <c r="H264" s="20">
        <v>103.35372206</v>
      </c>
      <c r="I264" s="20">
        <v>0</v>
      </c>
      <c r="J264" s="20">
        <v>0</v>
      </c>
      <c r="K264" s="20">
        <v>0</v>
      </c>
      <c r="L264" s="20">
        <v>103.35372206</v>
      </c>
      <c r="M264" s="20" t="s">
        <v>131</v>
      </c>
      <c r="N264" s="20">
        <v>38.570999999999984</v>
      </c>
      <c r="O264" s="20">
        <v>27.070999999999998</v>
      </c>
      <c r="P264" s="20">
        <v>11.5</v>
      </c>
      <c r="Q264" s="20">
        <v>38.570999999999998</v>
      </c>
    </row>
    <row r="265" spans="1:17" ht="73.5" customHeight="1" x14ac:dyDescent="0.25">
      <c r="B265" s="51" t="s">
        <v>117</v>
      </c>
      <c r="C265" s="76" t="s">
        <v>618</v>
      </c>
      <c r="D265" s="28" t="s">
        <v>352</v>
      </c>
      <c r="E265" s="21">
        <v>2020</v>
      </c>
      <c r="F265" s="21">
        <v>2024</v>
      </c>
      <c r="G265" s="20" t="s">
        <v>131</v>
      </c>
      <c r="H265" s="20">
        <v>67.782289640000002</v>
      </c>
      <c r="I265" s="20">
        <v>0</v>
      </c>
      <c r="J265" s="20">
        <v>0</v>
      </c>
      <c r="K265" s="20">
        <v>0</v>
      </c>
      <c r="L265" s="20">
        <v>67.782289640000002</v>
      </c>
      <c r="M265" s="20" t="s">
        <v>131</v>
      </c>
      <c r="N265" s="20">
        <v>27.491500000000002</v>
      </c>
      <c r="O265" s="20">
        <v>20.491499999999998</v>
      </c>
      <c r="P265" s="20">
        <v>7</v>
      </c>
      <c r="Q265" s="20">
        <v>27.491499999999998</v>
      </c>
    </row>
    <row r="266" spans="1:17" ht="75" x14ac:dyDescent="0.25">
      <c r="B266" s="51" t="s">
        <v>117</v>
      </c>
      <c r="C266" s="76" t="s">
        <v>607</v>
      </c>
      <c r="D266" s="28" t="s">
        <v>348</v>
      </c>
      <c r="E266" s="21">
        <v>2021</v>
      </c>
      <c r="F266" s="21">
        <v>2024</v>
      </c>
      <c r="G266" s="20" t="s">
        <v>131</v>
      </c>
      <c r="H266" s="20">
        <v>104.32643247999999</v>
      </c>
      <c r="I266" s="20">
        <v>0</v>
      </c>
      <c r="J266" s="20">
        <v>0</v>
      </c>
      <c r="K266" s="20">
        <v>0</v>
      </c>
      <c r="L266" s="20">
        <v>104.32643247999999</v>
      </c>
      <c r="M266" s="20" t="s">
        <v>131</v>
      </c>
      <c r="N266" s="20">
        <v>17.855418999999994</v>
      </c>
      <c r="O266" s="20">
        <v>12.855418999999999</v>
      </c>
      <c r="P266" s="20">
        <v>5</v>
      </c>
      <c r="Q266" s="20">
        <v>17.855418999999998</v>
      </c>
    </row>
    <row r="267" spans="1:17" ht="114" customHeight="1" x14ac:dyDescent="0.25">
      <c r="B267" s="51" t="s">
        <v>117</v>
      </c>
      <c r="C267" s="76" t="s">
        <v>608</v>
      </c>
      <c r="D267" s="28" t="s">
        <v>201</v>
      </c>
      <c r="E267" s="21">
        <v>2020</v>
      </c>
      <c r="F267" s="21">
        <v>2020</v>
      </c>
      <c r="G267" s="20" t="s">
        <v>131</v>
      </c>
      <c r="H267" s="20">
        <v>28.025500000000001</v>
      </c>
      <c r="I267" s="20">
        <v>0</v>
      </c>
      <c r="J267" s="20">
        <v>0</v>
      </c>
      <c r="K267" s="20">
        <v>0</v>
      </c>
      <c r="L267" s="20">
        <v>28.025500000000001</v>
      </c>
      <c r="M267" s="20" t="s">
        <v>131</v>
      </c>
      <c r="N267" s="20">
        <v>0</v>
      </c>
      <c r="O267" s="20">
        <v>0</v>
      </c>
      <c r="P267" s="20">
        <v>0</v>
      </c>
      <c r="Q267" s="20">
        <v>0</v>
      </c>
    </row>
    <row r="268" spans="1:17" ht="37.5" x14ac:dyDescent="0.25">
      <c r="B268" s="51" t="s">
        <v>117</v>
      </c>
      <c r="C268" s="76" t="s">
        <v>609</v>
      </c>
      <c r="D268" s="28" t="s">
        <v>442</v>
      </c>
      <c r="E268" s="21">
        <v>2021</v>
      </c>
      <c r="F268" s="21">
        <v>2024</v>
      </c>
      <c r="G268" s="20" t="s">
        <v>131</v>
      </c>
      <c r="H268" s="20">
        <v>378.88079644000004</v>
      </c>
      <c r="I268" s="20">
        <v>0</v>
      </c>
      <c r="J268" s="20">
        <v>0</v>
      </c>
      <c r="K268" s="20">
        <v>0</v>
      </c>
      <c r="L268" s="20">
        <v>378.88079644000004</v>
      </c>
      <c r="M268" s="20" t="s">
        <v>131</v>
      </c>
      <c r="N268" s="20">
        <v>223.69780000000006</v>
      </c>
      <c r="O268" s="20">
        <v>185.6978</v>
      </c>
      <c r="P268" s="20">
        <v>38</v>
      </c>
      <c r="Q268" s="20">
        <v>223.6978</v>
      </c>
    </row>
    <row r="269" spans="1:17" ht="69" customHeight="1" x14ac:dyDescent="0.25">
      <c r="B269" s="51" t="s">
        <v>117</v>
      </c>
      <c r="C269" s="76" t="s">
        <v>610</v>
      </c>
      <c r="D269" s="20" t="s">
        <v>202</v>
      </c>
      <c r="E269" s="21">
        <v>2020</v>
      </c>
      <c r="F269" s="21">
        <v>2020</v>
      </c>
      <c r="G269" s="20" t="s">
        <v>131</v>
      </c>
      <c r="H269" s="20">
        <v>17.031300000000002</v>
      </c>
      <c r="I269" s="20">
        <v>0</v>
      </c>
      <c r="J269" s="20">
        <v>0</v>
      </c>
      <c r="K269" s="20">
        <v>0</v>
      </c>
      <c r="L269" s="20">
        <v>17.031300000000002</v>
      </c>
      <c r="M269" s="20" t="s">
        <v>131</v>
      </c>
      <c r="N269" s="20">
        <v>0</v>
      </c>
      <c r="O269" s="20">
        <v>0</v>
      </c>
      <c r="P269" s="20">
        <v>0</v>
      </c>
      <c r="Q269" s="20">
        <v>0</v>
      </c>
    </row>
    <row r="270" spans="1:17" ht="48.75" customHeight="1" x14ac:dyDescent="0.25">
      <c r="B270" s="51" t="s">
        <v>117</v>
      </c>
      <c r="C270" s="76" t="s">
        <v>647</v>
      </c>
      <c r="D270" s="28" t="s">
        <v>648</v>
      </c>
      <c r="E270" s="21">
        <v>2024</v>
      </c>
      <c r="F270" s="21">
        <v>2024</v>
      </c>
      <c r="G270" s="20" t="s">
        <v>131</v>
      </c>
      <c r="H270" s="20">
        <v>300</v>
      </c>
      <c r="I270" s="20">
        <v>0</v>
      </c>
      <c r="J270" s="20">
        <v>0</v>
      </c>
      <c r="K270" s="20">
        <v>0</v>
      </c>
      <c r="L270" s="20">
        <v>300</v>
      </c>
      <c r="M270" s="20" t="s">
        <v>131</v>
      </c>
      <c r="N270" s="20">
        <v>300</v>
      </c>
      <c r="O270" s="20">
        <v>0</v>
      </c>
      <c r="P270" s="20">
        <v>300</v>
      </c>
      <c r="Q270" s="20">
        <v>300</v>
      </c>
    </row>
    <row r="271" spans="1:17" ht="65.25" customHeight="1" x14ac:dyDescent="0.25">
      <c r="B271" s="51" t="s">
        <v>117</v>
      </c>
      <c r="C271" s="76" t="s">
        <v>205</v>
      </c>
      <c r="D271" s="28" t="s">
        <v>341</v>
      </c>
      <c r="E271" s="21" t="s">
        <v>131</v>
      </c>
      <c r="F271" s="21" t="s">
        <v>131</v>
      </c>
      <c r="G271" s="20" t="s">
        <v>131</v>
      </c>
      <c r="H271" s="20">
        <v>0</v>
      </c>
      <c r="I271" s="20">
        <v>0</v>
      </c>
      <c r="J271" s="20">
        <v>0</v>
      </c>
      <c r="K271" s="20">
        <v>0</v>
      </c>
      <c r="L271" s="20">
        <v>0</v>
      </c>
      <c r="M271" s="20" t="s">
        <v>131</v>
      </c>
      <c r="N271" s="20">
        <v>0</v>
      </c>
      <c r="O271" s="20">
        <v>0</v>
      </c>
      <c r="P271" s="20">
        <v>0</v>
      </c>
      <c r="Q271" s="20">
        <v>0</v>
      </c>
    </row>
    <row r="272" spans="1:17" s="180" customFormat="1" ht="56.25" x14ac:dyDescent="0.25">
      <c r="A272" s="44"/>
      <c r="B272" s="51" t="s">
        <v>117</v>
      </c>
      <c r="C272" s="76" t="s">
        <v>204</v>
      </c>
      <c r="D272" s="28" t="s">
        <v>199</v>
      </c>
      <c r="E272" s="21" t="s">
        <v>131</v>
      </c>
      <c r="F272" s="21" t="s">
        <v>131</v>
      </c>
      <c r="G272" s="20" t="s">
        <v>131</v>
      </c>
      <c r="H272" s="20">
        <v>0</v>
      </c>
      <c r="I272" s="20">
        <v>0</v>
      </c>
      <c r="J272" s="20">
        <v>0</v>
      </c>
      <c r="K272" s="20">
        <v>0</v>
      </c>
      <c r="L272" s="20">
        <v>0</v>
      </c>
      <c r="M272" s="20" t="s">
        <v>131</v>
      </c>
      <c r="N272" s="20">
        <v>0</v>
      </c>
      <c r="O272" s="20">
        <v>0</v>
      </c>
      <c r="P272" s="20">
        <v>0</v>
      </c>
      <c r="Q272" s="20">
        <v>0</v>
      </c>
    </row>
    <row r="273" spans="2:17" ht="75" x14ac:dyDescent="0.25">
      <c r="B273" s="51" t="s">
        <v>117</v>
      </c>
      <c r="C273" s="76" t="s">
        <v>203</v>
      </c>
      <c r="D273" s="28" t="s">
        <v>219</v>
      </c>
      <c r="E273" s="21" t="s">
        <v>131</v>
      </c>
      <c r="F273" s="21" t="s">
        <v>131</v>
      </c>
      <c r="G273" s="20" t="s">
        <v>131</v>
      </c>
      <c r="H273" s="20">
        <v>0</v>
      </c>
      <c r="I273" s="20">
        <v>0</v>
      </c>
      <c r="J273" s="20">
        <v>0</v>
      </c>
      <c r="K273" s="20">
        <v>0</v>
      </c>
      <c r="L273" s="20">
        <v>0</v>
      </c>
      <c r="M273" s="20" t="s">
        <v>131</v>
      </c>
      <c r="N273" s="20">
        <v>0</v>
      </c>
      <c r="O273" s="20">
        <v>0</v>
      </c>
      <c r="P273" s="20">
        <v>0</v>
      </c>
      <c r="Q273" s="20">
        <v>0</v>
      </c>
    </row>
    <row r="274" spans="2:17" ht="56.25" x14ac:dyDescent="0.25">
      <c r="B274" s="51" t="s">
        <v>117</v>
      </c>
      <c r="C274" s="76" t="s">
        <v>611</v>
      </c>
      <c r="D274" s="28" t="s">
        <v>200</v>
      </c>
      <c r="E274" s="21" t="s">
        <v>131</v>
      </c>
      <c r="F274" s="21" t="s">
        <v>131</v>
      </c>
      <c r="G274" s="20" t="s">
        <v>131</v>
      </c>
      <c r="H274" s="20">
        <v>0</v>
      </c>
      <c r="I274" s="20">
        <v>0</v>
      </c>
      <c r="J274" s="20">
        <v>0</v>
      </c>
      <c r="K274" s="20">
        <v>0</v>
      </c>
      <c r="L274" s="20">
        <v>0</v>
      </c>
      <c r="M274" s="20" t="s">
        <v>131</v>
      </c>
      <c r="N274" s="20">
        <v>0</v>
      </c>
      <c r="O274" s="20">
        <v>0</v>
      </c>
      <c r="P274" s="20">
        <v>0</v>
      </c>
      <c r="Q274" s="20">
        <v>0</v>
      </c>
    </row>
  </sheetData>
  <customSheetViews>
    <customSheetView guid="{8656A0A6-B175-4186-B008-26BA3DE08316}" scale="70" fitToPage="1" printArea="1" showAutoFilter="1" hiddenColumns="1" topLeftCell="B34">
      <selection activeCell="E36" sqref="E36"/>
      <pageMargins left="0.23622047244094491" right="0.23622047244094491" top="0.39370078740157483" bottom="0.39370078740157483" header="0.31496062992125984" footer="0.31496062992125984"/>
      <printOptions horizontalCentered="1"/>
      <pageSetup paperSize="9" scale="12" firstPageNumber="2" fitToHeight="3" orientation="landscape" r:id="rId1"/>
      <headerFooter>
        <oddFooter>Страница  &amp;P из &amp;N</oddFooter>
      </headerFooter>
      <autoFilter ref="B17:CM260"/>
    </customSheetView>
    <customSheetView guid="{60136FD1-411C-4F4D-9E77-F7C42BE76C41}" scale="70" fitToPage="1" showAutoFilter="1" hiddenColumns="1" topLeftCell="B28">
      <selection activeCell="D39" sqref="D39"/>
      <pageMargins left="0.23622047244094491" right="0.23622047244094491" top="0.39370078740157483" bottom="0.39370078740157483" header="0.31496062992125984" footer="0.31496062992125984"/>
      <printOptions horizontalCentered="1"/>
      <pageSetup paperSize="9" scale="12" firstPageNumber="2" fitToHeight="3" orientation="landscape" r:id="rId2"/>
      <headerFooter>
        <oddFooter>Страница  &amp;P из &amp;N</oddFooter>
      </headerFooter>
      <autoFilter ref="B17:CM260"/>
    </customSheetView>
  </customSheetViews>
  <mergeCells count="20">
    <mergeCell ref="Q11:Q12"/>
    <mergeCell ref="O10:Q10"/>
    <mergeCell ref="B10:B12"/>
    <mergeCell ref="C10:C12"/>
    <mergeCell ref="D10:D12"/>
    <mergeCell ref="H10:L10"/>
    <mergeCell ref="M11:N11"/>
    <mergeCell ref="M10:N10"/>
    <mergeCell ref="E10:E12"/>
    <mergeCell ref="F10:F11"/>
    <mergeCell ref="G10:G11"/>
    <mergeCell ref="H11:L11"/>
    <mergeCell ref="B7:R7"/>
    <mergeCell ref="B8:R8"/>
    <mergeCell ref="O1:Q1"/>
    <mergeCell ref="O2:Q2"/>
    <mergeCell ref="O3:Q3"/>
    <mergeCell ref="B4:R4"/>
    <mergeCell ref="B5:R5"/>
    <mergeCell ref="B6:Q6"/>
  </mergeCells>
  <conditionalFormatting sqref="C210:C211 C101:C104 C66:C69 C88">
    <cfRule type="duplicateValues" dxfId="1" priority="14"/>
  </conditionalFormatting>
  <printOptions horizontalCentered="1" verticalCentered="1"/>
  <pageMargins left="0.23622047244094491" right="0.23622047244094491" top="0.39370078740157483" bottom="0.39370078740157483" header="0.31496062992125984" footer="0.31496062992125984"/>
  <pageSetup paperSize="9" scale="36" firstPageNumber="2" fitToHeight="0" orientation="landscape" r:id="rId3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A281"/>
  <sheetViews>
    <sheetView topLeftCell="W10" zoomScale="70" zoomScaleNormal="70" zoomScaleSheetLayoutView="55" workbookViewId="0">
      <pane ySplit="9" topLeftCell="A263" activePane="bottomLeft" state="frozen"/>
      <selection activeCell="A10" sqref="A10"/>
      <selection pane="bottomLeft" activeCell="AD16" sqref="AD16"/>
    </sheetView>
  </sheetViews>
  <sheetFormatPr defaultColWidth="9" defaultRowHeight="15.75" x14ac:dyDescent="0.25"/>
  <cols>
    <col min="1" max="1" width="3.875" style="108" bestFit="1" customWidth="1"/>
    <col min="2" max="2" width="8.75" style="1" bestFit="1" customWidth="1"/>
    <col min="3" max="3" width="80.125" style="12" customWidth="1"/>
    <col min="4" max="4" width="26" style="1" customWidth="1"/>
    <col min="5" max="5" width="17.125" style="1" customWidth="1"/>
    <col min="6" max="6" width="12.25" style="1" customWidth="1"/>
    <col min="7" max="7" width="9.25" style="1" customWidth="1"/>
    <col min="8" max="8" width="20.25" style="1" customWidth="1"/>
    <col min="9" max="9" width="15.875" style="1" customWidth="1"/>
    <col min="10" max="10" width="29.25" style="1" customWidth="1"/>
    <col min="11" max="11" width="18.875" style="1" customWidth="1"/>
    <col min="12" max="12" width="16.75" style="1" customWidth="1"/>
    <col min="13" max="17" width="16.75" style="8" customWidth="1"/>
    <col min="18" max="18" width="15.375" style="8" customWidth="1"/>
    <col min="19" max="21" width="16.75" style="8" customWidth="1"/>
    <col min="22" max="22" width="11" style="8" customWidth="1"/>
    <col min="23" max="23" width="16.75" style="8" customWidth="1"/>
    <col min="24" max="24" width="11" style="8" customWidth="1"/>
    <col min="25" max="25" width="16.75" style="8" customWidth="1"/>
    <col min="26" max="26" width="11" style="8" customWidth="1"/>
    <col min="27" max="27" width="16.75" style="8" customWidth="1"/>
    <col min="28" max="28" width="12.625" style="31" customWidth="1"/>
    <col min="29" max="29" width="13.75" style="8" customWidth="1"/>
    <col min="30" max="30" width="12.25" style="8" customWidth="1"/>
    <col min="31" max="31" width="14.75" style="8" customWidth="1"/>
    <col min="32" max="32" width="12.25" style="8" customWidth="1"/>
    <col min="33" max="33" width="15.25" style="8" customWidth="1"/>
    <col min="34" max="34" width="12.25" style="8" customWidth="1"/>
    <col min="35" max="35" width="17" style="8" customWidth="1"/>
    <col min="36" max="36" width="12.25" style="8" customWidth="1"/>
    <col min="37" max="37" width="15.375" style="8" customWidth="1"/>
    <col min="38" max="38" width="12.25" style="8" customWidth="1"/>
    <col min="39" max="39" width="14.375" style="8" customWidth="1"/>
    <col min="40" max="40" width="16.5" style="8" customWidth="1"/>
    <col min="41" max="41" width="14" style="8" customWidth="1"/>
    <col min="42" max="42" width="80.75" style="8" customWidth="1"/>
    <col min="43" max="43" width="22.25" style="8" hidden="1" customWidth="1"/>
    <col min="44" max="44" width="40" style="1" hidden="1" customWidth="1"/>
    <col min="45" max="45" width="18.125" style="1" hidden="1" customWidth="1"/>
    <col min="46" max="46" width="28.5" style="1" hidden="1" customWidth="1"/>
    <col min="47" max="47" width="18.125" style="1" hidden="1" customWidth="1"/>
    <col min="48" max="48" width="25" style="1" hidden="1" customWidth="1"/>
    <col min="49" max="61" width="18.125" style="1" hidden="1" customWidth="1"/>
    <col min="62" max="62" width="23.75" style="1" hidden="1" customWidth="1"/>
    <col min="63" max="81" width="18.125" style="1" hidden="1" customWidth="1"/>
    <col min="82" max="82" width="9" style="1" hidden="1" customWidth="1"/>
    <col min="83" max="83" width="13.5" style="1" hidden="1" customWidth="1"/>
    <col min="84" max="88" width="9" style="1" hidden="1" customWidth="1"/>
    <col min="89" max="89" width="22.625" style="15" hidden="1" customWidth="1"/>
    <col min="90" max="92" width="19.875" style="1" hidden="1" customWidth="1"/>
    <col min="93" max="94" width="9" style="1" customWidth="1"/>
    <col min="95" max="95" width="17.125" style="1" customWidth="1"/>
    <col min="96" max="96" width="13.875" style="1" customWidth="1"/>
    <col min="97" max="97" width="14.75" style="1" customWidth="1"/>
    <col min="98" max="139" width="9" style="1" customWidth="1"/>
    <col min="140" max="16384" width="9" style="1"/>
  </cols>
  <sheetData>
    <row r="1" spans="1:96" ht="18.75" x14ac:dyDescent="0.25">
      <c r="B1" s="8"/>
      <c r="C1" s="58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P1" s="4" t="s">
        <v>365</v>
      </c>
      <c r="AR1" s="8"/>
      <c r="AS1" s="8"/>
      <c r="AT1" s="8"/>
      <c r="AV1" s="8"/>
    </row>
    <row r="2" spans="1:96" ht="18.75" x14ac:dyDescent="0.3">
      <c r="B2" s="8"/>
      <c r="C2" s="10"/>
      <c r="D2" s="8"/>
      <c r="E2" s="8"/>
      <c r="F2" s="8"/>
      <c r="G2" s="8"/>
      <c r="H2" s="8"/>
      <c r="I2" s="8"/>
      <c r="J2" s="8"/>
      <c r="K2" s="8"/>
      <c r="L2" s="8"/>
      <c r="AP2" s="2" t="s">
        <v>364</v>
      </c>
      <c r="AR2" s="8"/>
      <c r="AS2" s="8"/>
      <c r="AT2" s="8"/>
      <c r="AV2" s="8"/>
    </row>
    <row r="3" spans="1:96" ht="18.75" x14ac:dyDescent="0.3">
      <c r="B3" s="8"/>
      <c r="C3" s="10"/>
      <c r="D3" s="8"/>
      <c r="E3" s="8"/>
      <c r="F3" s="8"/>
      <c r="G3" s="8"/>
      <c r="H3" s="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AO3" s="1"/>
      <c r="AP3" s="2" t="s">
        <v>516</v>
      </c>
      <c r="AR3" s="8"/>
      <c r="AS3" s="8"/>
      <c r="AT3" s="8"/>
      <c r="AV3" s="8"/>
    </row>
    <row r="4" spans="1:96" ht="18.75" x14ac:dyDescent="0.3">
      <c r="B4" s="221" t="s">
        <v>15</v>
      </c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2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R4" s="8"/>
      <c r="AS4" s="8"/>
      <c r="AT4" s="8"/>
      <c r="AV4" s="8"/>
    </row>
    <row r="5" spans="1:96" ht="18.75" x14ac:dyDescent="0.3">
      <c r="B5" s="169"/>
      <c r="C5" s="11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70"/>
      <c r="AC5" s="169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169"/>
      <c r="AP5" s="169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</row>
    <row r="6" spans="1:96" ht="18.75" x14ac:dyDescent="0.25">
      <c r="B6" s="223" t="s">
        <v>461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4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</row>
    <row r="7" spans="1:96" x14ac:dyDescent="0.25">
      <c r="B7" s="225" t="s">
        <v>14</v>
      </c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6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5"/>
      <c r="AN7" s="225"/>
      <c r="AO7" s="225"/>
      <c r="AP7" s="225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</row>
    <row r="8" spans="1:96" ht="18.75" x14ac:dyDescent="0.3">
      <c r="B8" s="8"/>
      <c r="C8" s="10"/>
      <c r="D8" s="8"/>
      <c r="E8" s="8"/>
      <c r="F8" s="8"/>
      <c r="G8" s="8"/>
      <c r="H8" s="8"/>
      <c r="I8" s="8"/>
      <c r="J8" s="8"/>
      <c r="K8" s="8"/>
      <c r="L8" s="8"/>
      <c r="AE8" s="117"/>
      <c r="AI8" s="117"/>
      <c r="AK8" s="117"/>
      <c r="AM8" s="117"/>
      <c r="AO8" s="2"/>
      <c r="AR8" s="8"/>
      <c r="AS8" s="8"/>
      <c r="AT8" s="8"/>
      <c r="AV8" s="8"/>
    </row>
    <row r="9" spans="1:96" ht="18.75" x14ac:dyDescent="0.3">
      <c r="B9" s="194" t="s">
        <v>579</v>
      </c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94"/>
      <c r="AB9" s="227"/>
      <c r="AC9" s="194"/>
      <c r="AD9" s="194"/>
      <c r="AE9" s="194"/>
      <c r="AF9" s="194"/>
      <c r="AG9" s="194"/>
      <c r="AH9" s="194"/>
      <c r="AI9" s="194"/>
      <c r="AJ9" s="194"/>
      <c r="AK9" s="194"/>
      <c r="AL9" s="194"/>
      <c r="AM9" s="194"/>
      <c r="AN9" s="194"/>
      <c r="AO9" s="194"/>
      <c r="AP9" s="194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</row>
    <row r="10" spans="1:96" ht="12" customHeight="1" x14ac:dyDescent="0.3">
      <c r="B10" s="169"/>
      <c r="C10" s="11"/>
      <c r="D10" s="169"/>
      <c r="E10" s="169"/>
      <c r="F10" s="169"/>
      <c r="G10" s="169"/>
      <c r="H10" s="169"/>
      <c r="I10" s="169"/>
      <c r="J10" s="169"/>
      <c r="K10" s="170"/>
      <c r="L10" s="170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70"/>
      <c r="AC10" s="169"/>
      <c r="AD10" s="169"/>
      <c r="AE10" s="169"/>
      <c r="AF10" s="169"/>
      <c r="AG10" s="169"/>
      <c r="AH10" s="169"/>
      <c r="AI10" s="169"/>
      <c r="AJ10" s="169"/>
      <c r="AK10" s="126"/>
      <c r="AL10" s="169"/>
      <c r="AM10" s="169"/>
      <c r="AN10" s="169"/>
      <c r="AO10" s="170"/>
      <c r="AP10" s="169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</row>
    <row r="11" spans="1:96" ht="18.75" hidden="1" x14ac:dyDescent="0.3">
      <c r="B11" s="194" t="s">
        <v>366</v>
      </c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227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  <c r="AN11" s="194"/>
      <c r="AO11" s="194"/>
      <c r="AP11" s="194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</row>
    <row r="12" spans="1:96" hidden="1" x14ac:dyDescent="0.25">
      <c r="B12" s="228" t="s">
        <v>185</v>
      </c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228"/>
      <c r="Y12" s="228"/>
      <c r="Z12" s="228"/>
      <c r="AA12" s="228"/>
      <c r="AB12" s="229"/>
      <c r="AC12" s="228"/>
      <c r="AD12" s="228"/>
      <c r="AE12" s="228"/>
      <c r="AF12" s="228"/>
      <c r="AG12" s="228"/>
      <c r="AH12" s="228"/>
      <c r="AI12" s="228"/>
      <c r="AJ12" s="228"/>
      <c r="AK12" s="228"/>
      <c r="AL12" s="228"/>
      <c r="AM12" s="228"/>
      <c r="AN12" s="228"/>
      <c r="AO12" s="228"/>
      <c r="AP12" s="228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</row>
    <row r="13" spans="1:96" s="41" customFormat="1" hidden="1" x14ac:dyDescent="0.25">
      <c r="A13" s="109"/>
      <c r="B13" s="88"/>
      <c r="C13" s="88"/>
      <c r="D13" s="88"/>
      <c r="E13" s="88"/>
      <c r="F13" s="88"/>
      <c r="G13" s="88"/>
      <c r="H13" s="88"/>
      <c r="I13" s="88"/>
      <c r="J13" s="88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92"/>
      <c r="AH13" s="89"/>
      <c r="AI13" s="89"/>
      <c r="AJ13" s="89"/>
      <c r="AK13" s="89"/>
      <c r="AL13" s="89"/>
      <c r="AM13" s="89"/>
      <c r="AN13" s="89"/>
      <c r="AO13" s="89"/>
      <c r="AP13" s="90"/>
      <c r="CK13" s="43"/>
    </row>
    <row r="14" spans="1:96" s="8" customFormat="1" ht="125.25" customHeight="1" x14ac:dyDescent="0.25">
      <c r="A14" s="44"/>
      <c r="B14" s="199" t="s">
        <v>120</v>
      </c>
      <c r="C14" s="199" t="s">
        <v>6</v>
      </c>
      <c r="D14" s="199" t="s">
        <v>119</v>
      </c>
      <c r="E14" s="203" t="s">
        <v>10</v>
      </c>
      <c r="F14" s="203" t="s">
        <v>11</v>
      </c>
      <c r="G14" s="199" t="s">
        <v>12</v>
      </c>
      <c r="H14" s="199"/>
      <c r="I14" s="199" t="s">
        <v>121</v>
      </c>
      <c r="J14" s="199"/>
      <c r="K14" s="208" t="s">
        <v>178</v>
      </c>
      <c r="L14" s="215" t="s">
        <v>122</v>
      </c>
      <c r="M14" s="201"/>
      <c r="N14" s="201"/>
      <c r="O14" s="201"/>
      <c r="P14" s="201"/>
      <c r="Q14" s="201"/>
      <c r="R14" s="201"/>
      <c r="S14" s="201"/>
      <c r="T14" s="201"/>
      <c r="U14" s="202"/>
      <c r="V14" s="215" t="s">
        <v>123</v>
      </c>
      <c r="W14" s="201"/>
      <c r="X14" s="201"/>
      <c r="Y14" s="201"/>
      <c r="Z14" s="201"/>
      <c r="AA14" s="202"/>
      <c r="AB14" s="216" t="s">
        <v>454</v>
      </c>
      <c r="AC14" s="217"/>
      <c r="AD14" s="215" t="s">
        <v>124</v>
      </c>
      <c r="AE14" s="201"/>
      <c r="AF14" s="201"/>
      <c r="AG14" s="201"/>
      <c r="AH14" s="201"/>
      <c r="AI14" s="201"/>
      <c r="AJ14" s="201"/>
      <c r="AK14" s="201"/>
      <c r="AL14" s="201"/>
      <c r="AM14" s="201"/>
      <c r="AN14" s="201"/>
      <c r="AO14" s="201"/>
      <c r="AP14" s="208" t="s">
        <v>16</v>
      </c>
      <c r="AR14" s="204" t="s">
        <v>526</v>
      </c>
      <c r="AS14" s="205"/>
      <c r="AT14" s="206"/>
      <c r="AV14" s="200" t="s">
        <v>520</v>
      </c>
      <c r="AZ14" s="211" t="s">
        <v>567</v>
      </c>
      <c r="BA14" s="211"/>
      <c r="BB14" s="211"/>
      <c r="BC14" s="211"/>
      <c r="BE14" s="212" t="s">
        <v>568</v>
      </c>
      <c r="BF14" s="213"/>
      <c r="BG14" s="213"/>
      <c r="BH14" s="213"/>
      <c r="BI14" s="213"/>
      <c r="BJ14" s="124" t="s">
        <v>569</v>
      </c>
      <c r="BM14" s="127"/>
      <c r="BN14" s="127"/>
      <c r="BR14" s="214" t="s">
        <v>457</v>
      </c>
      <c r="BS14" s="214"/>
      <c r="BT14" s="214"/>
      <c r="BU14" s="214"/>
      <c r="BV14" s="214"/>
      <c r="BW14" s="214"/>
      <c r="BX14" s="214"/>
      <c r="BY14" s="214"/>
      <c r="BZ14" s="44" t="s">
        <v>458</v>
      </c>
      <c r="CK14" s="166"/>
    </row>
    <row r="15" spans="1:96" s="8" customFormat="1" ht="126" customHeight="1" x14ac:dyDescent="0.25">
      <c r="A15" s="44"/>
      <c r="B15" s="199"/>
      <c r="C15" s="199"/>
      <c r="D15" s="199"/>
      <c r="E15" s="203"/>
      <c r="F15" s="203"/>
      <c r="G15" s="199"/>
      <c r="H15" s="199"/>
      <c r="I15" s="199"/>
      <c r="J15" s="199"/>
      <c r="K15" s="209"/>
      <c r="L15" s="204" t="s">
        <v>2</v>
      </c>
      <c r="M15" s="205"/>
      <c r="N15" s="205"/>
      <c r="O15" s="205"/>
      <c r="P15" s="206"/>
      <c r="Q15" s="204" t="s">
        <v>13</v>
      </c>
      <c r="R15" s="205"/>
      <c r="S15" s="205"/>
      <c r="T15" s="205"/>
      <c r="U15" s="206"/>
      <c r="V15" s="200" t="s">
        <v>177</v>
      </c>
      <c r="W15" s="200"/>
      <c r="X15" s="204" t="s">
        <v>519</v>
      </c>
      <c r="Y15" s="206"/>
      <c r="Z15" s="200" t="s">
        <v>518</v>
      </c>
      <c r="AA15" s="200"/>
      <c r="AB15" s="218"/>
      <c r="AC15" s="219"/>
      <c r="AD15" s="207" t="s">
        <v>132</v>
      </c>
      <c r="AE15" s="207"/>
      <c r="AF15" s="207" t="s">
        <v>133</v>
      </c>
      <c r="AG15" s="207"/>
      <c r="AH15" s="207" t="s">
        <v>134</v>
      </c>
      <c r="AI15" s="207"/>
      <c r="AJ15" s="207" t="s">
        <v>135</v>
      </c>
      <c r="AK15" s="207"/>
      <c r="AL15" s="207" t="s">
        <v>136</v>
      </c>
      <c r="AM15" s="207"/>
      <c r="AN15" s="220" t="s">
        <v>598</v>
      </c>
      <c r="AO15" s="200" t="s">
        <v>18</v>
      </c>
      <c r="AP15" s="209"/>
      <c r="AR15" s="200" t="s">
        <v>521</v>
      </c>
      <c r="AS15" s="200"/>
      <c r="AT15" s="165"/>
      <c r="AV15" s="200"/>
      <c r="AZ15" s="168">
        <v>2021</v>
      </c>
      <c r="BA15" s="168">
        <v>2022</v>
      </c>
      <c r="BB15" s="168">
        <v>2023</v>
      </c>
      <c r="BC15" s="168">
        <v>2024</v>
      </c>
      <c r="BE15" s="168">
        <v>2021</v>
      </c>
      <c r="BF15" s="168">
        <v>2022</v>
      </c>
      <c r="BG15" s="168">
        <v>2023</v>
      </c>
      <c r="BH15" s="168">
        <v>2024</v>
      </c>
      <c r="BI15" s="120" t="s">
        <v>349</v>
      </c>
      <c r="BJ15" s="119"/>
      <c r="BM15" s="127" t="s">
        <v>571</v>
      </c>
      <c r="BN15" s="127" t="s">
        <v>526</v>
      </c>
      <c r="BR15" s="83">
        <v>1</v>
      </c>
      <c r="BS15" s="83">
        <v>1.05</v>
      </c>
      <c r="BT15" s="83">
        <v>1.0957371766458306</v>
      </c>
      <c r="BU15" s="83">
        <v>1.1421713589918858</v>
      </c>
      <c r="BV15" s="83">
        <v>1.1915137916617551</v>
      </c>
      <c r="BW15" s="83">
        <v>1.2438223455177086</v>
      </c>
      <c r="BX15" s="83">
        <v>1.2989244792720833</v>
      </c>
      <c r="BY15" s="83">
        <v>1.3564676731627558</v>
      </c>
      <c r="BZ15" s="83"/>
      <c r="CK15" s="166"/>
    </row>
    <row r="16" spans="1:96" s="8" customFormat="1" ht="122.25" customHeight="1" x14ac:dyDescent="0.25">
      <c r="A16" s="44"/>
      <c r="B16" s="199"/>
      <c r="C16" s="199"/>
      <c r="D16" s="199"/>
      <c r="E16" s="203"/>
      <c r="F16" s="203"/>
      <c r="G16" s="13" t="s">
        <v>2</v>
      </c>
      <c r="H16" s="13" t="s">
        <v>9</v>
      </c>
      <c r="I16" s="13" t="s">
        <v>17</v>
      </c>
      <c r="J16" s="13" t="s">
        <v>9</v>
      </c>
      <c r="K16" s="210"/>
      <c r="L16" s="14" t="s">
        <v>1</v>
      </c>
      <c r="M16" s="14" t="s">
        <v>4</v>
      </c>
      <c r="N16" s="14" t="s">
        <v>5</v>
      </c>
      <c r="O16" s="7" t="s">
        <v>7</v>
      </c>
      <c r="P16" s="7" t="s">
        <v>8</v>
      </c>
      <c r="Q16" s="14" t="s">
        <v>1</v>
      </c>
      <c r="R16" s="14" t="s">
        <v>4</v>
      </c>
      <c r="S16" s="14" t="s">
        <v>5</v>
      </c>
      <c r="T16" s="7" t="s">
        <v>7</v>
      </c>
      <c r="U16" s="7" t="s">
        <v>8</v>
      </c>
      <c r="V16" s="14" t="s">
        <v>0</v>
      </c>
      <c r="W16" s="14" t="s">
        <v>3</v>
      </c>
      <c r="X16" s="14" t="s">
        <v>0</v>
      </c>
      <c r="Y16" s="14" t="s">
        <v>3</v>
      </c>
      <c r="Z16" s="14" t="s">
        <v>0</v>
      </c>
      <c r="AA16" s="14" t="s">
        <v>3</v>
      </c>
      <c r="AB16" s="45" t="s">
        <v>2</v>
      </c>
      <c r="AC16" s="165" t="s">
        <v>455</v>
      </c>
      <c r="AD16" s="171" t="s">
        <v>614</v>
      </c>
      <c r="AE16" s="165" t="s">
        <v>455</v>
      </c>
      <c r="AF16" s="165" t="s">
        <v>2</v>
      </c>
      <c r="AG16" s="165" t="s">
        <v>455</v>
      </c>
      <c r="AH16" s="165" t="s">
        <v>2</v>
      </c>
      <c r="AI16" s="165" t="s">
        <v>179</v>
      </c>
      <c r="AJ16" s="165" t="s">
        <v>2</v>
      </c>
      <c r="AK16" s="165" t="s">
        <v>179</v>
      </c>
      <c r="AL16" s="165" t="s">
        <v>2</v>
      </c>
      <c r="AM16" s="165" t="s">
        <v>179</v>
      </c>
      <c r="AN16" s="220"/>
      <c r="AO16" s="200"/>
      <c r="AP16" s="210"/>
      <c r="AR16" s="165" t="s">
        <v>534</v>
      </c>
      <c r="AS16" s="165" t="s">
        <v>535</v>
      </c>
      <c r="AT16" s="165" t="s">
        <v>536</v>
      </c>
      <c r="AV16" s="200"/>
      <c r="AZ16" s="119"/>
      <c r="BA16" s="119"/>
      <c r="BB16" s="119"/>
      <c r="BC16" s="119"/>
      <c r="BE16" s="119"/>
      <c r="BF16" s="119"/>
      <c r="BG16" s="119"/>
      <c r="BH16" s="119"/>
      <c r="BI16" s="121"/>
      <c r="BJ16" s="119"/>
      <c r="BM16" s="127"/>
      <c r="BN16" s="127"/>
      <c r="BR16" s="84">
        <v>2018</v>
      </c>
      <c r="BS16" s="84">
        <v>2019</v>
      </c>
      <c r="BT16" s="84">
        <v>2020</v>
      </c>
      <c r="BU16" s="84">
        <v>2021</v>
      </c>
      <c r="BV16" s="84">
        <v>2022</v>
      </c>
      <c r="BW16" s="84">
        <v>2023</v>
      </c>
      <c r="BX16" s="84">
        <v>2024</v>
      </c>
      <c r="BY16" s="84">
        <v>2025</v>
      </c>
      <c r="BZ16" s="84" t="s">
        <v>349</v>
      </c>
      <c r="CK16" s="166"/>
      <c r="CN16" s="144" t="s">
        <v>584</v>
      </c>
      <c r="CQ16" s="178" t="s">
        <v>615</v>
      </c>
      <c r="CR16" s="173" t="s">
        <v>616</v>
      </c>
    </row>
    <row r="17" spans="1:96" s="173" customFormat="1" ht="19.5" customHeight="1" x14ac:dyDescent="0.25">
      <c r="A17" s="44"/>
      <c r="B17" s="172">
        <v>1</v>
      </c>
      <c r="C17" s="172">
        <v>2</v>
      </c>
      <c r="D17" s="172">
        <v>3</v>
      </c>
      <c r="E17" s="172">
        <v>4</v>
      </c>
      <c r="F17" s="172">
        <v>5</v>
      </c>
      <c r="G17" s="172">
        <v>6</v>
      </c>
      <c r="H17" s="172">
        <v>7</v>
      </c>
      <c r="I17" s="172">
        <v>8</v>
      </c>
      <c r="J17" s="172">
        <v>9</v>
      </c>
      <c r="K17" s="172">
        <v>10</v>
      </c>
      <c r="L17" s="172">
        <v>11</v>
      </c>
      <c r="M17" s="172">
        <v>12</v>
      </c>
      <c r="N17" s="172">
        <v>13</v>
      </c>
      <c r="O17" s="172">
        <v>14</v>
      </c>
      <c r="P17" s="172">
        <v>15</v>
      </c>
      <c r="Q17" s="172">
        <v>16</v>
      </c>
      <c r="R17" s="172">
        <v>17</v>
      </c>
      <c r="S17" s="172">
        <v>18</v>
      </c>
      <c r="T17" s="172">
        <v>19</v>
      </c>
      <c r="U17" s="172">
        <v>20</v>
      </c>
      <c r="V17" s="172">
        <v>21</v>
      </c>
      <c r="W17" s="172">
        <v>22</v>
      </c>
      <c r="X17" s="172">
        <v>23</v>
      </c>
      <c r="Y17" s="172">
        <v>24</v>
      </c>
      <c r="Z17" s="172">
        <v>25</v>
      </c>
      <c r="AA17" s="172">
        <v>26</v>
      </c>
      <c r="AB17" s="45">
        <v>27</v>
      </c>
      <c r="AC17" s="172">
        <v>28</v>
      </c>
      <c r="AD17" s="16" t="s">
        <v>19</v>
      </c>
      <c r="AE17" s="9" t="s">
        <v>20</v>
      </c>
      <c r="AF17" s="9" t="s">
        <v>21</v>
      </c>
      <c r="AG17" s="9" t="s">
        <v>22</v>
      </c>
      <c r="AH17" s="9" t="s">
        <v>23</v>
      </c>
      <c r="AI17" s="9" t="s">
        <v>24</v>
      </c>
      <c r="AJ17" s="9" t="s">
        <v>125</v>
      </c>
      <c r="AK17" s="9" t="s">
        <v>126</v>
      </c>
      <c r="AL17" s="9" t="s">
        <v>127</v>
      </c>
      <c r="AM17" s="9" t="s">
        <v>128</v>
      </c>
      <c r="AN17" s="172">
        <v>30</v>
      </c>
      <c r="AO17" s="172">
        <v>31</v>
      </c>
      <c r="AP17" s="172">
        <v>32</v>
      </c>
      <c r="AR17" s="104"/>
      <c r="AS17" s="104"/>
      <c r="AT17" s="104"/>
      <c r="AV17" s="104"/>
      <c r="BJ17" s="104"/>
      <c r="BM17" s="104"/>
      <c r="BN17" s="104"/>
    </row>
    <row r="18" spans="1:96" s="68" customFormat="1" ht="48.75" customHeight="1" x14ac:dyDescent="0.3">
      <c r="A18" s="110"/>
      <c r="B18" s="62" t="s">
        <v>25</v>
      </c>
      <c r="C18" s="62" t="s">
        <v>26</v>
      </c>
      <c r="D18" s="63" t="s">
        <v>361</v>
      </c>
      <c r="E18" s="63"/>
      <c r="F18" s="63"/>
      <c r="G18" s="64"/>
      <c r="H18" s="64"/>
      <c r="I18" s="65" t="s">
        <v>131</v>
      </c>
      <c r="J18" s="63">
        <f t="shared" ref="J18:AO18" si="0">J19+J20+J21+J22+J23+J24</f>
        <v>10752.062892399728</v>
      </c>
      <c r="K18" s="150">
        <f t="shared" si="0"/>
        <v>1008.5009</v>
      </c>
      <c r="L18" s="63">
        <f t="shared" si="0"/>
        <v>45774.201463560923</v>
      </c>
      <c r="M18" s="63">
        <f t="shared" si="0"/>
        <v>2926.8093666519726</v>
      </c>
      <c r="N18" s="63">
        <f t="shared" si="0"/>
        <v>24852.500193794709</v>
      </c>
      <c r="O18" s="63">
        <f t="shared" si="0"/>
        <v>13680.024050298129</v>
      </c>
      <c r="P18" s="63">
        <f t="shared" si="0"/>
        <v>4314.7789528161074</v>
      </c>
      <c r="Q18" s="151">
        <f t="shared" si="0"/>
        <v>54109.045727029887</v>
      </c>
      <c r="R18" s="63">
        <f t="shared" si="0"/>
        <v>3444.3305545209946</v>
      </c>
      <c r="S18" s="63">
        <f t="shared" si="0"/>
        <v>29485.294638024785</v>
      </c>
      <c r="T18" s="63">
        <f t="shared" si="0"/>
        <v>13681.007907053257</v>
      </c>
      <c r="U18" s="63">
        <f t="shared" si="0"/>
        <v>7498.4126274308564</v>
      </c>
      <c r="V18" s="63">
        <f t="shared" si="0"/>
        <v>0</v>
      </c>
      <c r="W18" s="63">
        <f t="shared" si="0"/>
        <v>44765.700563560924</v>
      </c>
      <c r="X18" s="63">
        <f t="shared" si="0"/>
        <v>0</v>
      </c>
      <c r="Y18" s="63">
        <f t="shared" si="0"/>
        <v>26074.441860060979</v>
      </c>
      <c r="Z18" s="63">
        <f t="shared" si="0"/>
        <v>0</v>
      </c>
      <c r="AA18" s="63">
        <f t="shared" si="0"/>
        <v>40439.857077959663</v>
      </c>
      <c r="AB18" s="63">
        <f t="shared" si="0"/>
        <v>2002.3435000000004</v>
      </c>
      <c r="AC18" s="63">
        <f t="shared" si="0"/>
        <v>2002.3434000000002</v>
      </c>
      <c r="AD18" s="63">
        <f t="shared" si="0"/>
        <v>8603.92</v>
      </c>
      <c r="AE18" s="63">
        <f t="shared" si="0"/>
        <v>9328.1953890702298</v>
      </c>
      <c r="AF18" s="63">
        <f t="shared" si="0"/>
        <v>8084.9952034999433</v>
      </c>
      <c r="AG18" s="151">
        <f t="shared" si="0"/>
        <v>10617.10657</v>
      </c>
      <c r="AH18" s="63">
        <f t="shared" si="0"/>
        <v>8826.7015656861913</v>
      </c>
      <c r="AI18" s="63">
        <f t="shared" si="0"/>
        <v>10092.923168999498</v>
      </c>
      <c r="AJ18" s="63">
        <f t="shared" si="0"/>
        <v>7039.0845967481018</v>
      </c>
      <c r="AK18" s="63">
        <f t="shared" si="0"/>
        <v>8114.2711908164829</v>
      </c>
      <c r="AL18" s="63">
        <f t="shared" si="0"/>
        <v>6337.1898978066565</v>
      </c>
      <c r="AM18" s="63">
        <f t="shared" si="0"/>
        <v>7606.7810671136858</v>
      </c>
      <c r="AN18" s="63">
        <f t="shared" si="0"/>
        <v>37906.591263740884</v>
      </c>
      <c r="AO18" s="63">
        <f t="shared" si="0"/>
        <v>45759.2773859999</v>
      </c>
      <c r="AP18" s="95" t="s">
        <v>131</v>
      </c>
      <c r="AQ18" s="86">
        <f>AH18+AJ18+AL18</f>
        <v>22202.976060240951</v>
      </c>
      <c r="AR18" s="86">
        <f t="shared" ref="AR18:AV18" si="1">AI18+AK18+AM18</f>
        <v>25813.975426929668</v>
      </c>
      <c r="AS18" s="86">
        <f t="shared" si="1"/>
        <v>51282.865758295644</v>
      </c>
      <c r="AT18" s="86">
        <f t="shared" si="1"/>
        <v>61480.329643930068</v>
      </c>
      <c r="AU18" s="86" t="e">
        <f t="shared" si="1"/>
        <v>#VALUE!</v>
      </c>
      <c r="AV18" s="86">
        <f t="shared" si="1"/>
        <v>75569.034513354534</v>
      </c>
      <c r="AW18" s="86">
        <f>AI18+AK18+AM18</f>
        <v>25813.975426929668</v>
      </c>
      <c r="AX18" s="106"/>
      <c r="AY18" s="66"/>
      <c r="AZ18" s="118">
        <v>10617.10657</v>
      </c>
      <c r="BA18" s="118">
        <v>8298.9991168366414</v>
      </c>
      <c r="BB18" s="118">
        <v>7960.1200494599998</v>
      </c>
      <c r="BC18" s="118">
        <v>7452.5774002880325</v>
      </c>
      <c r="BD18" s="66"/>
      <c r="BE18" s="118">
        <f>AG18-AZ18</f>
        <v>0</v>
      </c>
      <c r="BF18" s="118">
        <f>AI18-BA18</f>
        <v>1793.9240521628562</v>
      </c>
      <c r="BG18" s="118">
        <f>AK18-BB18</f>
        <v>154.15114135648309</v>
      </c>
      <c r="BH18" s="118">
        <f>AM18-BC18</f>
        <v>154.20366682565327</v>
      </c>
      <c r="BI18" s="122">
        <f>BE18+BF18+BG18+BH18</f>
        <v>2102.2788603449926</v>
      </c>
      <c r="BJ18" s="123"/>
      <c r="BK18" s="110"/>
      <c r="BM18" s="128">
        <f t="shared" ref="BM18:BM81" si="2">K18+AC18+AE18+AG18+AI18+AK18+AM18</f>
        <v>48770.121685999897</v>
      </c>
      <c r="BN18" s="128">
        <f t="shared" ref="BN18:BN61" si="3">BM18-Q18</f>
        <v>-5338.9240410299899</v>
      </c>
      <c r="BR18" s="63">
        <f>K18/$BR$15</f>
        <v>1008.5009</v>
      </c>
      <c r="BS18" s="63">
        <f>AC18/$BS$15</f>
        <v>1906.9937142857143</v>
      </c>
      <c r="BT18" s="63">
        <f>AE18/$BT$15</f>
        <v>8513.168657492155</v>
      </c>
      <c r="BU18" s="63">
        <f>AG18/$BU$15</f>
        <v>9295.5461423677898</v>
      </c>
      <c r="BV18" s="63">
        <f>AI18/$BV$15</f>
        <v>8470.6725508592845</v>
      </c>
      <c r="BW18" s="63">
        <f>AK18/$BW$15</f>
        <v>6523.6576751152743</v>
      </c>
      <c r="BX18" s="63">
        <f>AM18/$BX$15</f>
        <v>5856.2150367483428</v>
      </c>
      <c r="BY18" s="63">
        <f>(Q18-K18-AC18-AE18-AG18-AI18-AK18-AM18)/$BY$15</f>
        <v>3935.9021572417578</v>
      </c>
      <c r="BZ18" s="63">
        <f>SUM(BR18:BY18)*1.2</f>
        <v>54612.78820093238</v>
      </c>
      <c r="CB18" s="75">
        <f t="shared" ref="CB18:CB81" si="4">((Q18-(K18+AC18+AE18+AG18+AI18+AK18+AM18))/$BY$15+K18/$BR$15+AC18/$BS$15+AE18/$BT$15+AG18/$BU$15+AI18/$BV$15+AK18/$BW$15+AM18/$BX$15)*1.2</f>
        <v>54612.788200932373</v>
      </c>
      <c r="CJ18" s="70">
        <f t="shared" ref="CJ18:CJ90" si="5">Q18-R18-S18-T18-U18</f>
        <v>-7.2759576141834259E-12</v>
      </c>
      <c r="CK18" s="160"/>
      <c r="CL18" s="166"/>
      <c r="CN18" s="63">
        <f t="shared" ref="CN18" si="6">CN19+CN20+CN21+CN22+CN23+CN24</f>
        <v>8603.8719999999994</v>
      </c>
      <c r="CQ18" s="177">
        <f>AE18+AG18+AH18+AJ18+AL18</f>
        <v>42148.278019311183</v>
      </c>
      <c r="CR18" s="177">
        <f>CQ18-AN18</f>
        <v>4241.6867555702993</v>
      </c>
    </row>
    <row r="19" spans="1:96" ht="20.25" x14ac:dyDescent="0.3">
      <c r="B19" s="49" t="s">
        <v>27</v>
      </c>
      <c r="C19" s="50" t="s">
        <v>28</v>
      </c>
      <c r="D19" s="17" t="s">
        <v>129</v>
      </c>
      <c r="E19" s="17"/>
      <c r="F19" s="17"/>
      <c r="G19" s="18"/>
      <c r="H19" s="18"/>
      <c r="I19" s="19" t="str">
        <f t="shared" ref="I19:AO19" si="7">I26</f>
        <v>нд</v>
      </c>
      <c r="J19" s="17">
        <f t="shared" si="7"/>
        <v>945.93849</v>
      </c>
      <c r="K19" s="17">
        <f t="shared" si="7"/>
        <v>0</v>
      </c>
      <c r="L19" s="17">
        <f t="shared" si="7"/>
        <v>4021.652000000001</v>
      </c>
      <c r="M19" s="17">
        <f t="shared" si="7"/>
        <v>321.64097316346675</v>
      </c>
      <c r="N19" s="17">
        <f t="shared" si="7"/>
        <v>3106.9604032939424</v>
      </c>
      <c r="O19" s="17">
        <f t="shared" si="7"/>
        <v>256.19681278434291</v>
      </c>
      <c r="P19" s="17">
        <f t="shared" si="7"/>
        <v>336.88991075824777</v>
      </c>
      <c r="Q19" s="17">
        <f t="shared" si="7"/>
        <v>7428.61319</v>
      </c>
      <c r="R19" s="17">
        <f t="shared" si="7"/>
        <v>618.38707293958919</v>
      </c>
      <c r="S19" s="17">
        <f t="shared" si="7"/>
        <v>5869.776464183913</v>
      </c>
      <c r="T19" s="17">
        <f t="shared" si="7"/>
        <v>300.63190470268108</v>
      </c>
      <c r="U19" s="17">
        <f t="shared" si="7"/>
        <v>639.81774817381608</v>
      </c>
      <c r="V19" s="17">
        <f t="shared" si="7"/>
        <v>0</v>
      </c>
      <c r="W19" s="17">
        <f t="shared" si="7"/>
        <v>4021.652000000001</v>
      </c>
      <c r="X19" s="17">
        <f t="shared" si="7"/>
        <v>0</v>
      </c>
      <c r="Y19" s="17">
        <f t="shared" si="7"/>
        <v>1654.6431000000002</v>
      </c>
      <c r="Z19" s="17">
        <f t="shared" si="7"/>
        <v>0</v>
      </c>
      <c r="AA19" s="17">
        <f t="shared" si="7"/>
        <v>5118.8061899999993</v>
      </c>
      <c r="AB19" s="17">
        <f t="shared" si="7"/>
        <v>22.863900000000001</v>
      </c>
      <c r="AC19" s="17">
        <f t="shared" si="7"/>
        <v>22.863900000000001</v>
      </c>
      <c r="AD19" s="17">
        <f t="shared" si="7"/>
        <v>632.29999999999995</v>
      </c>
      <c r="AE19" s="17">
        <f t="shared" si="7"/>
        <v>2286.9431000000004</v>
      </c>
      <c r="AF19" s="17">
        <f t="shared" si="7"/>
        <v>1711.845</v>
      </c>
      <c r="AG19" s="17">
        <f t="shared" si="7"/>
        <v>3570.572290000001</v>
      </c>
      <c r="AH19" s="17">
        <f t="shared" si="7"/>
        <v>0</v>
      </c>
      <c r="AI19" s="17">
        <f t="shared" si="7"/>
        <v>1548.2339000000002</v>
      </c>
      <c r="AJ19" s="17">
        <f t="shared" si="7"/>
        <v>0</v>
      </c>
      <c r="AK19" s="17">
        <f t="shared" si="7"/>
        <v>0</v>
      </c>
      <c r="AL19" s="17">
        <f t="shared" si="7"/>
        <v>0</v>
      </c>
      <c r="AM19" s="17">
        <f t="shared" si="7"/>
        <v>0</v>
      </c>
      <c r="AN19" s="17">
        <f t="shared" si="7"/>
        <v>2368.4449999999997</v>
      </c>
      <c r="AO19" s="17">
        <f t="shared" si="7"/>
        <v>7405.7492899999997</v>
      </c>
      <c r="AP19" s="96" t="s">
        <v>131</v>
      </c>
      <c r="AQ19" s="86"/>
      <c r="AR19" s="85">
        <f t="shared" ref="AR19:AR91" si="8">L19-(K19+AB19+AD19+AF19+AH19+AJ19+AL19)</f>
        <v>1654.6431000000011</v>
      </c>
      <c r="AS19" s="85">
        <f t="shared" ref="AS19:AS91" si="9">Q19-(K19+AC19+AE19+AG19+AI19+AK19+AM19)</f>
        <v>0</v>
      </c>
      <c r="AT19" s="113"/>
      <c r="AV19" s="105">
        <f t="shared" ref="AV19:AV27" si="10">Q19-K19-AC19-AE19-AG19-AI19-AK19-AM19</f>
        <v>-1.8189894035458565E-12</v>
      </c>
      <c r="AX19" s="31"/>
      <c r="AZ19" s="118">
        <v>3570.572290000001</v>
      </c>
      <c r="BA19" s="118">
        <v>1530.6980000000001</v>
      </c>
      <c r="BB19" s="118">
        <v>0</v>
      </c>
      <c r="BC19" s="118">
        <v>0</v>
      </c>
      <c r="BD19" s="8"/>
      <c r="BE19" s="118">
        <f t="shared" ref="BE19:BE89" si="11">AG19-AZ19</f>
        <v>0</v>
      </c>
      <c r="BF19" s="118">
        <f t="shared" ref="BF19:BF89" si="12">AI19-BA19</f>
        <v>17.535900000000083</v>
      </c>
      <c r="BG19" s="118">
        <f t="shared" ref="BG19:BG89" si="13">AK19-BB19</f>
        <v>0</v>
      </c>
      <c r="BH19" s="118">
        <f t="shared" ref="BH19:BH89" si="14">AM19-BC19</f>
        <v>0</v>
      </c>
      <c r="BI19" s="122">
        <f t="shared" ref="BI19:BI89" si="15">BE19+BF19+BG19+BH19</f>
        <v>17.535900000000083</v>
      </c>
      <c r="BJ19" s="123"/>
      <c r="BK19" s="108"/>
      <c r="BM19" s="128">
        <f t="shared" si="2"/>
        <v>7428.6131900000009</v>
      </c>
      <c r="BN19" s="129">
        <f t="shared" si="3"/>
        <v>0</v>
      </c>
      <c r="CB19" s="75">
        <f t="shared" si="4"/>
        <v>7841.2957553084698</v>
      </c>
      <c r="CJ19" s="70">
        <f t="shared" si="5"/>
        <v>0</v>
      </c>
      <c r="CL19" s="166"/>
      <c r="CM19" s="68"/>
      <c r="CN19" s="17">
        <f t="shared" ref="CN19" si="16">CN26</f>
        <v>632.30500000000006</v>
      </c>
      <c r="CQ19" s="177">
        <f t="shared" ref="CQ19:CQ82" si="17">AE19+AG19+AH19+AJ19+AL19</f>
        <v>5857.5153900000014</v>
      </c>
      <c r="CR19" s="177">
        <f t="shared" ref="CR19:CR82" si="18">CQ19-AN19</f>
        <v>3489.0703900000017</v>
      </c>
    </row>
    <row r="20" spans="1:96" ht="20.25" x14ac:dyDescent="0.3">
      <c r="B20" s="49" t="s">
        <v>29</v>
      </c>
      <c r="C20" s="50" t="s">
        <v>30</v>
      </c>
      <c r="D20" s="17" t="s">
        <v>129</v>
      </c>
      <c r="E20" s="17"/>
      <c r="F20" s="17"/>
      <c r="G20" s="18"/>
      <c r="H20" s="18"/>
      <c r="I20" s="19" t="str">
        <f t="shared" ref="I20:AO20" si="19">I56</f>
        <v>нд</v>
      </c>
      <c r="J20" s="17">
        <f t="shared" si="19"/>
        <v>5781.2229890702292</v>
      </c>
      <c r="K20" s="17">
        <f t="shared" si="19"/>
        <v>994.67</v>
      </c>
      <c r="L20" s="17">
        <f t="shared" si="19"/>
        <v>31613.672782823865</v>
      </c>
      <c r="M20" s="17">
        <f t="shared" si="19"/>
        <v>2157.0241443620744</v>
      </c>
      <c r="N20" s="17">
        <f t="shared" si="19"/>
        <v>17586.079618693002</v>
      </c>
      <c r="O20" s="17">
        <f t="shared" si="19"/>
        <v>9647.4055992585727</v>
      </c>
      <c r="P20" s="17">
        <f t="shared" si="19"/>
        <v>2223.0384205102196</v>
      </c>
      <c r="Q20" s="17">
        <f t="shared" si="19"/>
        <v>33804.170924850398</v>
      </c>
      <c r="R20" s="17">
        <f t="shared" si="19"/>
        <v>2333.5434311750455</v>
      </c>
      <c r="S20" s="17">
        <f t="shared" si="19"/>
        <v>18894.557065527955</v>
      </c>
      <c r="T20" s="17">
        <f t="shared" si="19"/>
        <v>10163.309597062474</v>
      </c>
      <c r="U20" s="17">
        <f t="shared" si="19"/>
        <v>2412.76083108492</v>
      </c>
      <c r="V20" s="17">
        <f t="shared" si="19"/>
        <v>0</v>
      </c>
      <c r="W20" s="17">
        <f t="shared" si="19"/>
        <v>30619.002782823867</v>
      </c>
      <c r="X20" s="17">
        <f t="shared" si="19"/>
        <v>0</v>
      </c>
      <c r="Y20" s="17">
        <f t="shared" si="19"/>
        <v>17937.097400323924</v>
      </c>
      <c r="Z20" s="17">
        <f t="shared" si="19"/>
        <v>0</v>
      </c>
      <c r="AA20" s="17">
        <f t="shared" si="19"/>
        <v>26189.507035780167</v>
      </c>
      <c r="AB20" s="17">
        <f t="shared" si="19"/>
        <v>1292.9451000000001</v>
      </c>
      <c r="AC20" s="17">
        <f t="shared" si="19"/>
        <v>1292.9450000000002</v>
      </c>
      <c r="AD20" s="17">
        <f t="shared" si="19"/>
        <v>6423.7599999999993</v>
      </c>
      <c r="AE20" s="17">
        <f t="shared" si="19"/>
        <v>5327.0488890702291</v>
      </c>
      <c r="AF20" s="17">
        <f t="shared" si="19"/>
        <v>4965.2002824999427</v>
      </c>
      <c r="AG20" s="17">
        <f t="shared" si="19"/>
        <v>5716.3853200000003</v>
      </c>
      <c r="AH20" s="17">
        <f t="shared" si="19"/>
        <v>6921.4678929836109</v>
      </c>
      <c r="AI20" s="17">
        <f t="shared" si="19"/>
        <v>4644.6582799999996</v>
      </c>
      <c r="AJ20" s="17">
        <f t="shared" si="19"/>
        <v>5577.5883543919463</v>
      </c>
      <c r="AK20" s="17">
        <f t="shared" si="19"/>
        <v>6765.5266376664831</v>
      </c>
      <c r="AL20" s="17">
        <f t="shared" si="19"/>
        <v>5440.4314630283407</v>
      </c>
      <c r="AM20" s="17">
        <f t="shared" si="19"/>
        <v>5545.9156281136866</v>
      </c>
      <c r="AN20" s="17">
        <f t="shared" si="19"/>
        <v>28318.84799290384</v>
      </c>
      <c r="AO20" s="17">
        <f t="shared" si="19"/>
        <v>27999.5347548504</v>
      </c>
      <c r="AP20" s="96" t="s">
        <v>131</v>
      </c>
      <c r="AQ20" s="86"/>
      <c r="AR20" s="85">
        <f t="shared" si="8"/>
        <v>-2.3903100799725507</v>
      </c>
      <c r="AS20" s="85">
        <f t="shared" si="9"/>
        <v>3517.02117</v>
      </c>
      <c r="AT20" s="113"/>
      <c r="AV20" s="105">
        <f t="shared" si="10"/>
        <v>3517.0211699999991</v>
      </c>
      <c r="AX20" s="31"/>
      <c r="AZ20" s="118">
        <v>5716.3853200000003</v>
      </c>
      <c r="BA20" s="118">
        <v>4249.9282300000004</v>
      </c>
      <c r="BB20" s="118">
        <v>6989.3268051599998</v>
      </c>
      <c r="BC20" s="118">
        <v>5774.6010309639159</v>
      </c>
      <c r="BD20" s="8"/>
      <c r="BE20" s="118">
        <f t="shared" si="11"/>
        <v>0</v>
      </c>
      <c r="BF20" s="118">
        <f t="shared" si="12"/>
        <v>394.73004999999921</v>
      </c>
      <c r="BG20" s="118">
        <f t="shared" si="13"/>
        <v>-223.80016749351671</v>
      </c>
      <c r="BH20" s="118">
        <f t="shared" si="14"/>
        <v>-228.68540285022937</v>
      </c>
      <c r="BI20" s="122">
        <f t="shared" si="15"/>
        <v>-57.755520343746866</v>
      </c>
      <c r="BJ20" s="123"/>
      <c r="BK20" s="108"/>
      <c r="BM20" s="128">
        <f t="shared" si="2"/>
        <v>30287.149754850398</v>
      </c>
      <c r="BN20" s="129">
        <f t="shared" si="3"/>
        <v>-3517.02117</v>
      </c>
      <c r="CB20" s="75">
        <f t="shared" si="4"/>
        <v>33950.780862673855</v>
      </c>
      <c r="CJ20" s="70">
        <f t="shared" si="5"/>
        <v>0</v>
      </c>
      <c r="CL20" s="166"/>
      <c r="CM20" s="68"/>
      <c r="CN20" s="17">
        <f t="shared" ref="CN20" si="20">CN56</f>
        <v>6423.6869999999999</v>
      </c>
      <c r="CQ20" s="177">
        <f t="shared" si="17"/>
        <v>28982.921919474131</v>
      </c>
      <c r="CR20" s="177">
        <f t="shared" si="18"/>
        <v>664.0739265702905</v>
      </c>
    </row>
    <row r="21" spans="1:96" ht="56.25" x14ac:dyDescent="0.3">
      <c r="B21" s="49" t="s">
        <v>31</v>
      </c>
      <c r="C21" s="50" t="s">
        <v>32</v>
      </c>
      <c r="D21" s="17" t="s">
        <v>129</v>
      </c>
      <c r="E21" s="17"/>
      <c r="F21" s="17"/>
      <c r="G21" s="18"/>
      <c r="H21" s="18"/>
      <c r="I21" s="19" t="str">
        <f t="shared" ref="I21:AO21" si="21">I188</f>
        <v>нд</v>
      </c>
      <c r="J21" s="17">
        <f t="shared" si="21"/>
        <v>1015.6491000000001</v>
      </c>
      <c r="K21" s="17">
        <f t="shared" si="21"/>
        <v>13.8309</v>
      </c>
      <c r="L21" s="17">
        <f t="shared" si="21"/>
        <v>4589.7190999999993</v>
      </c>
      <c r="M21" s="17">
        <f t="shared" si="21"/>
        <v>258.73099999999999</v>
      </c>
      <c r="N21" s="17">
        <f t="shared" si="21"/>
        <v>2039.4279999999999</v>
      </c>
      <c r="O21" s="17">
        <f t="shared" si="21"/>
        <v>2001.5360000000001</v>
      </c>
      <c r="P21" s="17">
        <f t="shared" si="21"/>
        <v>290.02410000000003</v>
      </c>
      <c r="Q21" s="17">
        <f t="shared" si="21"/>
        <v>4387.8819999999996</v>
      </c>
      <c r="R21" s="17">
        <f t="shared" si="21"/>
        <v>259.34718200000003</v>
      </c>
      <c r="S21" s="17">
        <f t="shared" si="21"/>
        <v>2315.5395009999997</v>
      </c>
      <c r="T21" s="17">
        <f t="shared" si="21"/>
        <v>1529.745856</v>
      </c>
      <c r="U21" s="17">
        <f t="shared" si="21"/>
        <v>283.249461</v>
      </c>
      <c r="V21" s="17">
        <f t="shared" si="21"/>
        <v>0</v>
      </c>
      <c r="W21" s="17">
        <f t="shared" si="21"/>
        <v>4575.8881999999994</v>
      </c>
      <c r="X21" s="17">
        <f t="shared" si="21"/>
        <v>0</v>
      </c>
      <c r="Y21" s="17">
        <f t="shared" si="21"/>
        <v>4230.6690999999992</v>
      </c>
      <c r="Z21" s="17">
        <f t="shared" si="21"/>
        <v>0</v>
      </c>
      <c r="AA21" s="17">
        <f t="shared" si="21"/>
        <v>4339.8666999999996</v>
      </c>
      <c r="AB21" s="17">
        <f t="shared" si="21"/>
        <v>18.9191</v>
      </c>
      <c r="AC21" s="17">
        <f t="shared" si="21"/>
        <v>18.9191</v>
      </c>
      <c r="AD21" s="17">
        <f t="shared" si="21"/>
        <v>261.2</v>
      </c>
      <c r="AE21" s="17">
        <f t="shared" si="21"/>
        <v>0</v>
      </c>
      <c r="AF21" s="17">
        <f t="shared" si="21"/>
        <v>65.100000000000009</v>
      </c>
      <c r="AG21" s="17">
        <f t="shared" si="21"/>
        <v>15.2653</v>
      </c>
      <c r="AH21" s="17">
        <f t="shared" si="21"/>
        <v>1082.7</v>
      </c>
      <c r="AI21" s="17">
        <f t="shared" si="21"/>
        <v>1081.8835999999999</v>
      </c>
      <c r="AJ21" s="17">
        <f t="shared" si="21"/>
        <v>805.7</v>
      </c>
      <c r="AK21" s="17">
        <f t="shared" si="21"/>
        <v>362.76162529999999</v>
      </c>
      <c r="AL21" s="17">
        <f t="shared" si="21"/>
        <v>550.6</v>
      </c>
      <c r="AM21" s="17">
        <f t="shared" si="21"/>
        <v>1408.21</v>
      </c>
      <c r="AN21" s="17">
        <f t="shared" si="21"/>
        <v>2765.2999999999997</v>
      </c>
      <c r="AO21" s="17">
        <f t="shared" si="21"/>
        <v>2868.1205252999998</v>
      </c>
      <c r="AP21" s="96" t="s">
        <v>131</v>
      </c>
      <c r="AQ21" s="86"/>
      <c r="AR21" s="85">
        <f t="shared" si="8"/>
        <v>1791.6690999999996</v>
      </c>
      <c r="AS21" s="85">
        <f t="shared" si="9"/>
        <v>1487.0114746999998</v>
      </c>
      <c r="AT21" s="113"/>
      <c r="AV21" s="105">
        <f t="shared" si="10"/>
        <v>1487.0114746999993</v>
      </c>
      <c r="AX21" s="31"/>
      <c r="AZ21" s="118">
        <v>15.2653</v>
      </c>
      <c r="BA21" s="118">
        <v>1076.1999999999998</v>
      </c>
      <c r="BB21" s="118">
        <v>331.37162530000001</v>
      </c>
      <c r="BC21" s="118">
        <v>1067.25245503</v>
      </c>
      <c r="BD21" s="8"/>
      <c r="BE21" s="118">
        <f t="shared" si="11"/>
        <v>0</v>
      </c>
      <c r="BF21" s="118">
        <f t="shared" si="12"/>
        <v>5.6836000000000695</v>
      </c>
      <c r="BG21" s="118">
        <f t="shared" si="13"/>
        <v>31.389999999999986</v>
      </c>
      <c r="BH21" s="118">
        <f t="shared" si="14"/>
        <v>340.95754497000007</v>
      </c>
      <c r="BI21" s="122">
        <f t="shared" si="15"/>
        <v>378.03114497000013</v>
      </c>
      <c r="BJ21" s="123"/>
      <c r="BK21" s="108"/>
      <c r="BM21" s="128">
        <f t="shared" si="2"/>
        <v>2900.8705252999998</v>
      </c>
      <c r="BN21" s="129">
        <f t="shared" si="3"/>
        <v>-1487.0114746999998</v>
      </c>
      <c r="CB21" s="75">
        <f t="shared" si="4"/>
        <v>4110.2750344235146</v>
      </c>
      <c r="CJ21" s="70">
        <f t="shared" si="5"/>
        <v>-5.6843418860808015E-13</v>
      </c>
      <c r="CL21" s="166"/>
      <c r="CM21" s="68"/>
      <c r="CN21" s="17">
        <f t="shared" ref="CN21" si="22">CN188</f>
        <v>261.2</v>
      </c>
      <c r="CQ21" s="177">
        <f t="shared" si="17"/>
        <v>2454.2653</v>
      </c>
      <c r="CR21" s="177">
        <f t="shared" si="18"/>
        <v>-311.0346999999997</v>
      </c>
    </row>
    <row r="22" spans="1:96" ht="37.5" x14ac:dyDescent="0.3">
      <c r="B22" s="49" t="s">
        <v>33</v>
      </c>
      <c r="C22" s="50" t="s">
        <v>34</v>
      </c>
      <c r="D22" s="17" t="s">
        <v>129</v>
      </c>
      <c r="E22" s="17"/>
      <c r="F22" s="17"/>
      <c r="G22" s="18"/>
      <c r="H22" s="18"/>
      <c r="I22" s="19" t="str">
        <f t="shared" ref="I22:AO22" si="23">I201</f>
        <v>нд</v>
      </c>
      <c r="J22" s="17">
        <f t="shared" si="23"/>
        <v>1950.90205481</v>
      </c>
      <c r="K22" s="17">
        <f t="shared" si="23"/>
        <v>0</v>
      </c>
      <c r="L22" s="17">
        <f t="shared" si="23"/>
        <v>2851.0029</v>
      </c>
      <c r="M22" s="17">
        <f t="shared" si="23"/>
        <v>123.87932509855744</v>
      </c>
      <c r="N22" s="17">
        <f t="shared" si="23"/>
        <v>1893.5081334736919</v>
      </c>
      <c r="O22" s="17">
        <f t="shared" si="23"/>
        <v>696.40246797244288</v>
      </c>
      <c r="P22" s="17">
        <f t="shared" si="23"/>
        <v>137.21297345530755</v>
      </c>
      <c r="Q22" s="17">
        <f t="shared" si="23"/>
        <v>2727.5940548100002</v>
      </c>
      <c r="R22" s="17">
        <f t="shared" si="23"/>
        <v>119.30181302383065</v>
      </c>
      <c r="S22" s="17">
        <f t="shared" si="23"/>
        <v>1789.412515437296</v>
      </c>
      <c r="T22" s="17">
        <f t="shared" si="23"/>
        <v>684.24103759051866</v>
      </c>
      <c r="U22" s="17">
        <f t="shared" si="23"/>
        <v>134.63868875835445</v>
      </c>
      <c r="V22" s="17">
        <f t="shared" si="23"/>
        <v>0</v>
      </c>
      <c r="W22" s="17">
        <f t="shared" si="23"/>
        <v>2851.0029</v>
      </c>
      <c r="X22" s="17">
        <f t="shared" si="23"/>
        <v>0</v>
      </c>
      <c r="Y22" s="17">
        <f t="shared" si="23"/>
        <v>1040.4527</v>
      </c>
      <c r="Z22" s="17">
        <f t="shared" si="23"/>
        <v>0</v>
      </c>
      <c r="AA22" s="17">
        <f t="shared" si="23"/>
        <v>972.94775480999999</v>
      </c>
      <c r="AB22" s="17">
        <f t="shared" si="23"/>
        <v>667.61540000000002</v>
      </c>
      <c r="AC22" s="17">
        <f t="shared" si="23"/>
        <v>667.61540000000002</v>
      </c>
      <c r="AD22" s="17">
        <f t="shared" si="23"/>
        <v>920.90000000000009</v>
      </c>
      <c r="AE22" s="17">
        <f t="shared" si="23"/>
        <v>875.81270000000006</v>
      </c>
      <c r="AF22" s="17">
        <f t="shared" si="23"/>
        <v>222.03479999999999</v>
      </c>
      <c r="AG22" s="17">
        <f t="shared" si="23"/>
        <v>211.21820000000002</v>
      </c>
      <c r="AH22" s="17">
        <f t="shared" si="23"/>
        <v>562</v>
      </c>
      <c r="AI22" s="17">
        <f t="shared" si="23"/>
        <v>336.22340047999995</v>
      </c>
      <c r="AJ22" s="17">
        <f t="shared" si="23"/>
        <v>413.10614496000005</v>
      </c>
      <c r="AK22" s="17">
        <f t="shared" si="23"/>
        <v>300.956479</v>
      </c>
      <c r="AL22" s="17">
        <f t="shared" si="23"/>
        <v>110.43385504</v>
      </c>
      <c r="AM22" s="17">
        <f t="shared" si="23"/>
        <v>0.87647900000000001</v>
      </c>
      <c r="AN22" s="17">
        <f t="shared" si="23"/>
        <v>2228.4748</v>
      </c>
      <c r="AO22" s="17">
        <f t="shared" si="23"/>
        <v>1725.0872584800002</v>
      </c>
      <c r="AP22" s="96" t="s">
        <v>131</v>
      </c>
      <c r="AQ22" s="86"/>
      <c r="AR22" s="85">
        <f t="shared" si="8"/>
        <v>-45.087300000000141</v>
      </c>
      <c r="AS22" s="85">
        <f t="shared" si="9"/>
        <v>334.89139633000013</v>
      </c>
      <c r="AT22" s="113"/>
      <c r="AV22" s="105">
        <f t="shared" si="10"/>
        <v>334.89139633000008</v>
      </c>
      <c r="AX22" s="31"/>
      <c r="AZ22" s="118">
        <v>211.21820000000002</v>
      </c>
      <c r="BA22" s="118">
        <v>605.66340047999995</v>
      </c>
      <c r="BB22" s="118">
        <v>0.87647900000000001</v>
      </c>
      <c r="BC22" s="118">
        <v>0.87647900000000001</v>
      </c>
      <c r="BD22" s="8"/>
      <c r="BE22" s="118">
        <f t="shared" si="11"/>
        <v>0</v>
      </c>
      <c r="BF22" s="118">
        <f t="shared" si="12"/>
        <v>-269.44</v>
      </c>
      <c r="BG22" s="118">
        <f t="shared" si="13"/>
        <v>300.08</v>
      </c>
      <c r="BH22" s="118">
        <f t="shared" si="14"/>
        <v>0</v>
      </c>
      <c r="BI22" s="122">
        <f t="shared" si="15"/>
        <v>30.639999999999986</v>
      </c>
      <c r="BJ22" s="123"/>
      <c r="BK22" s="108"/>
      <c r="BM22" s="128">
        <f t="shared" si="2"/>
        <v>2392.7026584800001</v>
      </c>
      <c r="BN22" s="129">
        <f t="shared" si="3"/>
        <v>-334.89139633000013</v>
      </c>
      <c r="CB22" s="75">
        <f t="shared" si="4"/>
        <v>2870.0931713507539</v>
      </c>
      <c r="CJ22" s="70">
        <f t="shared" si="5"/>
        <v>5.4001247917767614E-13</v>
      </c>
      <c r="CL22" s="166"/>
      <c r="CM22" s="68"/>
      <c r="CN22" s="17">
        <f t="shared" ref="CN22" si="24">CN201</f>
        <v>920.88</v>
      </c>
      <c r="CQ22" s="177">
        <f t="shared" si="17"/>
        <v>2172.5709000000002</v>
      </c>
      <c r="CR22" s="177">
        <f t="shared" si="18"/>
        <v>-55.903899999999794</v>
      </c>
    </row>
    <row r="23" spans="1:96" ht="37.5" x14ac:dyDescent="0.3">
      <c r="B23" s="49" t="s">
        <v>35</v>
      </c>
      <c r="C23" s="50" t="s">
        <v>36</v>
      </c>
      <c r="D23" s="17" t="s">
        <v>129</v>
      </c>
      <c r="E23" s="17"/>
      <c r="F23" s="17"/>
      <c r="G23" s="18"/>
      <c r="H23" s="18"/>
      <c r="I23" s="19" t="str">
        <f t="shared" ref="I23:AO24" si="25">I217</f>
        <v>нд</v>
      </c>
      <c r="J23" s="17">
        <f t="shared" si="25"/>
        <v>0</v>
      </c>
      <c r="K23" s="17">
        <f t="shared" si="25"/>
        <v>0</v>
      </c>
      <c r="L23" s="17">
        <f t="shared" si="25"/>
        <v>0</v>
      </c>
      <c r="M23" s="17">
        <f t="shared" si="25"/>
        <v>0</v>
      </c>
      <c r="N23" s="17">
        <f t="shared" si="25"/>
        <v>0</v>
      </c>
      <c r="O23" s="17">
        <f t="shared" si="25"/>
        <v>0</v>
      </c>
      <c r="P23" s="17">
        <f t="shared" si="25"/>
        <v>0</v>
      </c>
      <c r="Q23" s="17">
        <f t="shared" si="25"/>
        <v>0</v>
      </c>
      <c r="R23" s="17">
        <f t="shared" si="25"/>
        <v>0</v>
      </c>
      <c r="S23" s="17">
        <f t="shared" si="25"/>
        <v>0</v>
      </c>
      <c r="T23" s="17">
        <f t="shared" si="25"/>
        <v>0</v>
      </c>
      <c r="U23" s="17">
        <f t="shared" si="25"/>
        <v>0</v>
      </c>
      <c r="V23" s="17">
        <f t="shared" si="25"/>
        <v>0</v>
      </c>
      <c r="W23" s="17">
        <f t="shared" si="25"/>
        <v>0</v>
      </c>
      <c r="X23" s="17">
        <f t="shared" si="25"/>
        <v>0</v>
      </c>
      <c r="Y23" s="17">
        <f t="shared" si="25"/>
        <v>0</v>
      </c>
      <c r="Z23" s="17">
        <f t="shared" si="25"/>
        <v>0</v>
      </c>
      <c r="AA23" s="17">
        <f t="shared" si="25"/>
        <v>0</v>
      </c>
      <c r="AB23" s="17">
        <f t="shared" si="25"/>
        <v>0</v>
      </c>
      <c r="AC23" s="17">
        <f t="shared" si="25"/>
        <v>0</v>
      </c>
      <c r="AD23" s="17">
        <f t="shared" si="25"/>
        <v>0</v>
      </c>
      <c r="AE23" s="17">
        <f t="shared" si="25"/>
        <v>0</v>
      </c>
      <c r="AF23" s="17">
        <f t="shared" si="25"/>
        <v>0</v>
      </c>
      <c r="AG23" s="17">
        <f t="shared" si="25"/>
        <v>0</v>
      </c>
      <c r="AH23" s="17">
        <f t="shared" si="25"/>
        <v>0</v>
      </c>
      <c r="AI23" s="17">
        <f t="shared" si="25"/>
        <v>0</v>
      </c>
      <c r="AJ23" s="17">
        <f t="shared" si="25"/>
        <v>0</v>
      </c>
      <c r="AK23" s="17">
        <f t="shared" si="25"/>
        <v>0</v>
      </c>
      <c r="AL23" s="17">
        <f t="shared" si="25"/>
        <v>0</v>
      </c>
      <c r="AM23" s="17">
        <f t="shared" si="25"/>
        <v>0</v>
      </c>
      <c r="AN23" s="17">
        <f t="shared" si="25"/>
        <v>0</v>
      </c>
      <c r="AO23" s="17">
        <f t="shared" si="25"/>
        <v>0</v>
      </c>
      <c r="AP23" s="96" t="s">
        <v>131</v>
      </c>
      <c r="AQ23" s="86"/>
      <c r="AR23" s="85">
        <f t="shared" si="8"/>
        <v>0</v>
      </c>
      <c r="AS23" s="85">
        <f t="shared" si="9"/>
        <v>0</v>
      </c>
      <c r="AT23" s="113"/>
      <c r="AV23" s="105">
        <f t="shared" si="10"/>
        <v>0</v>
      </c>
      <c r="AX23" s="31"/>
      <c r="AZ23" s="118">
        <v>0</v>
      </c>
      <c r="BA23" s="118">
        <v>0</v>
      </c>
      <c r="BB23" s="118">
        <v>0</v>
      </c>
      <c r="BC23" s="118">
        <v>0</v>
      </c>
      <c r="BD23" s="8"/>
      <c r="BE23" s="118">
        <f t="shared" si="11"/>
        <v>0</v>
      </c>
      <c r="BF23" s="118">
        <f t="shared" si="12"/>
        <v>0</v>
      </c>
      <c r="BG23" s="118">
        <f t="shared" si="13"/>
        <v>0</v>
      </c>
      <c r="BH23" s="118">
        <f t="shared" si="14"/>
        <v>0</v>
      </c>
      <c r="BI23" s="122">
        <f t="shared" si="15"/>
        <v>0</v>
      </c>
      <c r="BJ23" s="123"/>
      <c r="BK23" s="108"/>
      <c r="BM23" s="128">
        <f t="shared" si="2"/>
        <v>0</v>
      </c>
      <c r="BN23" s="129">
        <f t="shared" si="3"/>
        <v>0</v>
      </c>
      <c r="CB23" s="75">
        <f t="shared" si="4"/>
        <v>0</v>
      </c>
      <c r="CJ23" s="70">
        <f t="shared" si="5"/>
        <v>0</v>
      </c>
      <c r="CL23" s="166"/>
      <c r="CM23" s="68"/>
      <c r="CN23" s="17">
        <f t="shared" ref="CN23:CN24" si="26">CN217</f>
        <v>0</v>
      </c>
      <c r="CQ23" s="177">
        <f t="shared" si="17"/>
        <v>0</v>
      </c>
      <c r="CR23" s="177">
        <f t="shared" si="18"/>
        <v>0</v>
      </c>
    </row>
    <row r="24" spans="1:96" ht="20.25" x14ac:dyDescent="0.3">
      <c r="B24" s="49" t="s">
        <v>37</v>
      </c>
      <c r="C24" s="50" t="s">
        <v>38</v>
      </c>
      <c r="D24" s="17" t="s">
        <v>129</v>
      </c>
      <c r="E24" s="17"/>
      <c r="F24" s="17"/>
      <c r="G24" s="18"/>
      <c r="H24" s="18"/>
      <c r="I24" s="19" t="str">
        <f t="shared" si="25"/>
        <v>нд</v>
      </c>
      <c r="J24" s="17">
        <f t="shared" si="25"/>
        <v>1058.3502585194981</v>
      </c>
      <c r="K24" s="17">
        <f t="shared" si="25"/>
        <v>0</v>
      </c>
      <c r="L24" s="17">
        <f t="shared" si="25"/>
        <v>2698.154680737051</v>
      </c>
      <c r="M24" s="17">
        <f t="shared" si="25"/>
        <v>65.533924027874633</v>
      </c>
      <c r="N24" s="17">
        <f t="shared" si="25"/>
        <v>226.52403833407323</v>
      </c>
      <c r="O24" s="17">
        <f t="shared" si="25"/>
        <v>1078.4831702827712</v>
      </c>
      <c r="P24" s="17">
        <f t="shared" si="25"/>
        <v>1327.6135480923319</v>
      </c>
      <c r="Q24" s="17">
        <f t="shared" si="25"/>
        <v>5760.7855573694978</v>
      </c>
      <c r="R24" s="17">
        <f t="shared" si="25"/>
        <v>113.75105538252949</v>
      </c>
      <c r="S24" s="17">
        <f t="shared" si="25"/>
        <v>616.00909187561967</v>
      </c>
      <c r="T24" s="17">
        <f t="shared" si="25"/>
        <v>1003.0795116975841</v>
      </c>
      <c r="U24" s="17">
        <f t="shared" si="25"/>
        <v>4027.9458984137659</v>
      </c>
      <c r="V24" s="17">
        <f t="shared" si="25"/>
        <v>0</v>
      </c>
      <c r="W24" s="17">
        <f t="shared" si="25"/>
        <v>2698.154680737051</v>
      </c>
      <c r="X24" s="17">
        <f t="shared" si="25"/>
        <v>0</v>
      </c>
      <c r="Y24" s="17">
        <f t="shared" si="25"/>
        <v>1211.5795597370509</v>
      </c>
      <c r="Z24" s="17">
        <f t="shared" si="25"/>
        <v>0</v>
      </c>
      <c r="AA24" s="17">
        <f t="shared" si="25"/>
        <v>3818.7293973694982</v>
      </c>
      <c r="AB24" s="17">
        <f t="shared" si="25"/>
        <v>0</v>
      </c>
      <c r="AC24" s="17">
        <f t="shared" si="25"/>
        <v>0</v>
      </c>
      <c r="AD24" s="17">
        <f t="shared" si="25"/>
        <v>365.76</v>
      </c>
      <c r="AE24" s="17">
        <f t="shared" si="25"/>
        <v>838.39069999999992</v>
      </c>
      <c r="AF24" s="17">
        <f t="shared" si="25"/>
        <v>1120.8151209999999</v>
      </c>
      <c r="AG24" s="17">
        <f t="shared" si="25"/>
        <v>1103.6654599999999</v>
      </c>
      <c r="AH24" s="17">
        <f t="shared" si="25"/>
        <v>260.53367270258002</v>
      </c>
      <c r="AI24" s="17">
        <f t="shared" si="25"/>
        <v>2481.9239885194979</v>
      </c>
      <c r="AJ24" s="17">
        <f t="shared" si="25"/>
        <v>242.69009739615512</v>
      </c>
      <c r="AK24" s="17">
        <f t="shared" si="25"/>
        <v>685.02644884999995</v>
      </c>
      <c r="AL24" s="17">
        <f t="shared" si="25"/>
        <v>235.72457973831595</v>
      </c>
      <c r="AM24" s="17">
        <f t="shared" si="25"/>
        <v>651.77895999999998</v>
      </c>
      <c r="AN24" s="17">
        <f t="shared" si="25"/>
        <v>2225.5234708370513</v>
      </c>
      <c r="AO24" s="17">
        <f t="shared" si="25"/>
        <v>5760.7855573694969</v>
      </c>
      <c r="AP24" s="96" t="s">
        <v>131</v>
      </c>
      <c r="AQ24" s="86"/>
      <c r="AR24" s="85">
        <f t="shared" si="8"/>
        <v>472.6312098999997</v>
      </c>
      <c r="AS24" s="85">
        <f t="shared" si="9"/>
        <v>0</v>
      </c>
      <c r="AT24" s="113"/>
      <c r="AV24" s="105">
        <f t="shared" si="10"/>
        <v>0</v>
      </c>
      <c r="AX24" s="31"/>
      <c r="AZ24" s="118">
        <v>1103.6654599999999</v>
      </c>
      <c r="BA24" s="118">
        <v>836.50948635664122</v>
      </c>
      <c r="BB24" s="118">
        <v>638.54513999999995</v>
      </c>
      <c r="BC24" s="118">
        <v>609.84743529411764</v>
      </c>
      <c r="BD24" s="8"/>
      <c r="BE24" s="118">
        <f t="shared" si="11"/>
        <v>0</v>
      </c>
      <c r="BF24" s="118">
        <f t="shared" si="12"/>
        <v>1645.4145021628567</v>
      </c>
      <c r="BG24" s="118">
        <f t="shared" si="13"/>
        <v>46.481308850000005</v>
      </c>
      <c r="BH24" s="118">
        <f t="shared" si="14"/>
        <v>41.931524705882339</v>
      </c>
      <c r="BI24" s="122">
        <f t="shared" si="15"/>
        <v>1733.8273357187391</v>
      </c>
      <c r="BJ24" s="123"/>
      <c r="BK24" s="108"/>
      <c r="BM24" s="128">
        <f t="shared" si="2"/>
        <v>5760.7855573694969</v>
      </c>
      <c r="BN24" s="129">
        <f t="shared" si="3"/>
        <v>0</v>
      </c>
      <c r="CB24" s="75">
        <f t="shared" si="4"/>
        <v>5840.3433771757891</v>
      </c>
      <c r="CJ24" s="70">
        <f t="shared" si="5"/>
        <v>0</v>
      </c>
      <c r="CL24" s="166"/>
      <c r="CM24" s="68"/>
      <c r="CN24" s="17">
        <f t="shared" si="26"/>
        <v>365.80000000000007</v>
      </c>
      <c r="CQ24" s="177">
        <f t="shared" si="17"/>
        <v>2681.004509837051</v>
      </c>
      <c r="CR24" s="177">
        <f t="shared" si="18"/>
        <v>455.48103899999978</v>
      </c>
    </row>
    <row r="25" spans="1:96" ht="20.25" x14ac:dyDescent="0.3">
      <c r="B25" s="51" t="s">
        <v>39</v>
      </c>
      <c r="C25" s="50" t="s">
        <v>40</v>
      </c>
      <c r="D25" s="17" t="s">
        <v>129</v>
      </c>
      <c r="E25" s="17"/>
      <c r="F25" s="17"/>
      <c r="G25" s="17"/>
      <c r="H25" s="17"/>
      <c r="I25" s="19" t="str">
        <f>I219</f>
        <v>нд</v>
      </c>
      <c r="J25" s="17">
        <f t="shared" ref="J25:AO25" si="27">J18</f>
        <v>10752.062892399728</v>
      </c>
      <c r="K25" s="17">
        <f t="shared" si="27"/>
        <v>1008.5009</v>
      </c>
      <c r="L25" s="17">
        <f t="shared" si="27"/>
        <v>45774.201463560923</v>
      </c>
      <c r="M25" s="17">
        <f t="shared" si="27"/>
        <v>2926.8093666519726</v>
      </c>
      <c r="N25" s="17">
        <f t="shared" si="27"/>
        <v>24852.500193794709</v>
      </c>
      <c r="O25" s="17">
        <f t="shared" si="27"/>
        <v>13680.024050298129</v>
      </c>
      <c r="P25" s="17">
        <f t="shared" si="27"/>
        <v>4314.7789528161074</v>
      </c>
      <c r="Q25" s="17">
        <f t="shared" si="27"/>
        <v>54109.045727029887</v>
      </c>
      <c r="R25" s="17">
        <f t="shared" si="27"/>
        <v>3444.3305545209946</v>
      </c>
      <c r="S25" s="17">
        <f t="shared" si="27"/>
        <v>29485.294638024785</v>
      </c>
      <c r="T25" s="17">
        <f t="shared" si="27"/>
        <v>13681.007907053257</v>
      </c>
      <c r="U25" s="17">
        <f t="shared" si="27"/>
        <v>7498.4126274308564</v>
      </c>
      <c r="V25" s="17">
        <f t="shared" si="27"/>
        <v>0</v>
      </c>
      <c r="W25" s="17">
        <f t="shared" si="27"/>
        <v>44765.700563560924</v>
      </c>
      <c r="X25" s="17">
        <f t="shared" si="27"/>
        <v>0</v>
      </c>
      <c r="Y25" s="17">
        <f t="shared" si="27"/>
        <v>26074.441860060979</v>
      </c>
      <c r="Z25" s="17">
        <f t="shared" si="27"/>
        <v>0</v>
      </c>
      <c r="AA25" s="17">
        <f t="shared" si="27"/>
        <v>40439.857077959663</v>
      </c>
      <c r="AB25" s="17">
        <f t="shared" si="27"/>
        <v>2002.3435000000004</v>
      </c>
      <c r="AC25" s="17">
        <f t="shared" si="27"/>
        <v>2002.3434000000002</v>
      </c>
      <c r="AD25" s="17">
        <f t="shared" si="27"/>
        <v>8603.92</v>
      </c>
      <c r="AE25" s="17">
        <f t="shared" si="27"/>
        <v>9328.1953890702298</v>
      </c>
      <c r="AF25" s="17">
        <f t="shared" si="27"/>
        <v>8084.9952034999433</v>
      </c>
      <c r="AG25" s="17">
        <f t="shared" si="27"/>
        <v>10617.10657</v>
      </c>
      <c r="AH25" s="17">
        <f t="shared" si="27"/>
        <v>8826.7015656861913</v>
      </c>
      <c r="AI25" s="17">
        <f t="shared" si="27"/>
        <v>10092.923168999498</v>
      </c>
      <c r="AJ25" s="17">
        <f t="shared" si="27"/>
        <v>7039.0845967481018</v>
      </c>
      <c r="AK25" s="17">
        <f t="shared" si="27"/>
        <v>8114.2711908164829</v>
      </c>
      <c r="AL25" s="17">
        <f t="shared" si="27"/>
        <v>6337.1898978066565</v>
      </c>
      <c r="AM25" s="17">
        <f t="shared" si="27"/>
        <v>7606.7810671136858</v>
      </c>
      <c r="AN25" s="17">
        <f t="shared" si="27"/>
        <v>37906.591263740884</v>
      </c>
      <c r="AO25" s="17">
        <f t="shared" si="27"/>
        <v>45759.2773859999</v>
      </c>
      <c r="AP25" s="96" t="s">
        <v>131</v>
      </c>
      <c r="AQ25" s="86"/>
      <c r="AR25" s="85">
        <f t="shared" si="8"/>
        <v>3871.4657998200273</v>
      </c>
      <c r="AS25" s="85">
        <f t="shared" si="9"/>
        <v>5338.9240410299899</v>
      </c>
      <c r="AT25" s="113"/>
      <c r="AV25" s="105">
        <f t="shared" si="10"/>
        <v>5338.9240410299981</v>
      </c>
      <c r="AX25" s="31"/>
      <c r="AZ25" s="118">
        <v>10617.10657</v>
      </c>
      <c r="BA25" s="118">
        <v>8298.9991168366414</v>
      </c>
      <c r="BB25" s="118">
        <v>7960.1200494599998</v>
      </c>
      <c r="BC25" s="118">
        <v>7452.5774002880325</v>
      </c>
      <c r="BD25" s="8"/>
      <c r="BE25" s="118">
        <f t="shared" si="11"/>
        <v>0</v>
      </c>
      <c r="BF25" s="118">
        <f t="shared" si="12"/>
        <v>1793.9240521628562</v>
      </c>
      <c r="BG25" s="118">
        <f t="shared" si="13"/>
        <v>154.15114135648309</v>
      </c>
      <c r="BH25" s="118">
        <f t="shared" si="14"/>
        <v>154.20366682565327</v>
      </c>
      <c r="BI25" s="122">
        <f t="shared" si="15"/>
        <v>2102.2788603449926</v>
      </c>
      <c r="BJ25" s="123"/>
      <c r="BK25" s="108"/>
      <c r="BM25" s="128">
        <f t="shared" si="2"/>
        <v>48770.121685999897</v>
      </c>
      <c r="BN25" s="129">
        <f t="shared" si="3"/>
        <v>-5338.9240410299899</v>
      </c>
      <c r="CB25" s="75">
        <f t="shared" si="4"/>
        <v>54612.788200932373</v>
      </c>
      <c r="CJ25" s="70">
        <f t="shared" si="5"/>
        <v>-7.2759576141834259E-12</v>
      </c>
      <c r="CL25" s="166"/>
      <c r="CM25" s="68"/>
      <c r="CN25" s="17">
        <f t="shared" ref="CN25" si="28">CN18</f>
        <v>8603.8719999999994</v>
      </c>
      <c r="CQ25" s="177">
        <f t="shared" si="17"/>
        <v>42148.278019311183</v>
      </c>
      <c r="CR25" s="177">
        <f t="shared" si="18"/>
        <v>4241.6867555702993</v>
      </c>
    </row>
    <row r="26" spans="1:96" ht="28.5" customHeight="1" x14ac:dyDescent="0.3">
      <c r="B26" s="52" t="s">
        <v>41</v>
      </c>
      <c r="C26" s="53" t="s">
        <v>42</v>
      </c>
      <c r="D26" s="23" t="s">
        <v>129</v>
      </c>
      <c r="E26" s="23"/>
      <c r="F26" s="23"/>
      <c r="G26" s="24"/>
      <c r="H26" s="24"/>
      <c r="I26" s="25" t="s">
        <v>131</v>
      </c>
      <c r="J26" s="23">
        <f t="shared" ref="J26:Z26" si="29">J27+J31+J34+J51</f>
        <v>945.93849</v>
      </c>
      <c r="K26" s="23">
        <f t="shared" si="29"/>
        <v>0</v>
      </c>
      <c r="L26" s="23">
        <f t="shared" si="29"/>
        <v>4021.652000000001</v>
      </c>
      <c r="M26" s="23">
        <f t="shared" si="29"/>
        <v>321.64097316346675</v>
      </c>
      <c r="N26" s="23">
        <f t="shared" si="29"/>
        <v>3106.9604032939424</v>
      </c>
      <c r="O26" s="23">
        <f t="shared" si="29"/>
        <v>256.19681278434291</v>
      </c>
      <c r="P26" s="23">
        <f t="shared" si="29"/>
        <v>336.88991075824777</v>
      </c>
      <c r="Q26" s="23">
        <f t="shared" si="29"/>
        <v>7428.61319</v>
      </c>
      <c r="R26" s="23">
        <f t="shared" si="29"/>
        <v>618.38707293958919</v>
      </c>
      <c r="S26" s="23">
        <f t="shared" si="29"/>
        <v>5869.776464183913</v>
      </c>
      <c r="T26" s="23">
        <f t="shared" si="29"/>
        <v>300.63190470268108</v>
      </c>
      <c r="U26" s="23">
        <f t="shared" si="29"/>
        <v>639.81774817381608</v>
      </c>
      <c r="V26" s="23">
        <f t="shared" si="29"/>
        <v>0</v>
      </c>
      <c r="W26" s="23">
        <f t="shared" si="29"/>
        <v>4021.652000000001</v>
      </c>
      <c r="X26" s="23">
        <f t="shared" si="29"/>
        <v>0</v>
      </c>
      <c r="Y26" s="23">
        <f t="shared" si="29"/>
        <v>1654.6431000000002</v>
      </c>
      <c r="Z26" s="23">
        <f t="shared" si="29"/>
        <v>0</v>
      </c>
      <c r="AA26" s="23">
        <f>Q26-(K26+AC26+AE26)</f>
        <v>5118.8061899999993</v>
      </c>
      <c r="AB26" s="23">
        <f t="shared" ref="AB26:AO26" si="30">AB27+AB31+AB34+AB51</f>
        <v>22.863900000000001</v>
      </c>
      <c r="AC26" s="23">
        <f t="shared" si="30"/>
        <v>22.863900000000001</v>
      </c>
      <c r="AD26" s="23">
        <f t="shared" si="30"/>
        <v>632.29999999999995</v>
      </c>
      <c r="AE26" s="23">
        <f t="shared" si="30"/>
        <v>2286.9431000000004</v>
      </c>
      <c r="AF26" s="23">
        <f t="shared" si="30"/>
        <v>1711.845</v>
      </c>
      <c r="AG26" s="23">
        <f t="shared" si="30"/>
        <v>3570.572290000001</v>
      </c>
      <c r="AH26" s="23">
        <f t="shared" si="30"/>
        <v>0</v>
      </c>
      <c r="AI26" s="23">
        <f t="shared" si="30"/>
        <v>1548.2339000000002</v>
      </c>
      <c r="AJ26" s="23">
        <f t="shared" si="30"/>
        <v>0</v>
      </c>
      <c r="AK26" s="23">
        <f t="shared" si="30"/>
        <v>0</v>
      </c>
      <c r="AL26" s="23">
        <f t="shared" si="30"/>
        <v>0</v>
      </c>
      <c r="AM26" s="23">
        <f t="shared" si="30"/>
        <v>0</v>
      </c>
      <c r="AN26" s="23">
        <f t="shared" si="30"/>
        <v>2368.4449999999997</v>
      </c>
      <c r="AO26" s="23">
        <f t="shared" si="30"/>
        <v>7405.7492899999997</v>
      </c>
      <c r="AP26" s="97" t="s">
        <v>131</v>
      </c>
      <c r="AQ26" s="86"/>
      <c r="AR26" s="85">
        <f t="shared" si="8"/>
        <v>1654.6431000000011</v>
      </c>
      <c r="AS26" s="85">
        <f t="shared" si="9"/>
        <v>0</v>
      </c>
      <c r="AT26" s="113"/>
      <c r="AV26" s="105">
        <f t="shared" si="10"/>
        <v>-1.8189894035458565E-12</v>
      </c>
      <c r="AX26" s="31"/>
      <c r="AZ26" s="118">
        <v>3570.572290000001</v>
      </c>
      <c r="BA26" s="118">
        <v>1530.6980000000001</v>
      </c>
      <c r="BB26" s="118">
        <v>0</v>
      </c>
      <c r="BC26" s="118">
        <v>0</v>
      </c>
      <c r="BD26" s="8"/>
      <c r="BE26" s="118">
        <f t="shared" si="11"/>
        <v>0</v>
      </c>
      <c r="BF26" s="118">
        <f t="shared" si="12"/>
        <v>17.535900000000083</v>
      </c>
      <c r="BG26" s="118">
        <f t="shared" si="13"/>
        <v>0</v>
      </c>
      <c r="BH26" s="118">
        <f t="shared" si="14"/>
        <v>0</v>
      </c>
      <c r="BI26" s="122">
        <f t="shared" si="15"/>
        <v>17.535900000000083</v>
      </c>
      <c r="BJ26" s="123"/>
      <c r="BK26" s="108"/>
      <c r="BM26" s="128">
        <f t="shared" si="2"/>
        <v>7428.6131900000009</v>
      </c>
      <c r="BN26" s="129">
        <f t="shared" si="3"/>
        <v>0</v>
      </c>
      <c r="CB26" s="75">
        <f t="shared" si="4"/>
        <v>7841.2957553084698</v>
      </c>
      <c r="CJ26" s="70">
        <f t="shared" si="5"/>
        <v>0</v>
      </c>
      <c r="CL26" s="166"/>
      <c r="CM26" s="68"/>
      <c r="CN26" s="23">
        <f>CN27+CN31+CN34+CN51</f>
        <v>632.30500000000006</v>
      </c>
      <c r="CQ26" s="177">
        <f t="shared" si="17"/>
        <v>5857.5153900000014</v>
      </c>
      <c r="CR26" s="177">
        <f t="shared" si="18"/>
        <v>3489.0703900000017</v>
      </c>
    </row>
    <row r="27" spans="1:96" ht="37.5" x14ac:dyDescent="0.3">
      <c r="B27" s="54" t="s">
        <v>43</v>
      </c>
      <c r="C27" s="55" t="s">
        <v>44</v>
      </c>
      <c r="D27" s="35" t="s">
        <v>129</v>
      </c>
      <c r="E27" s="35"/>
      <c r="F27" s="35"/>
      <c r="G27" s="36"/>
      <c r="H27" s="36"/>
      <c r="I27" s="37" t="s">
        <v>131</v>
      </c>
      <c r="J27" s="35">
        <f t="shared" ref="J27:AO27" si="31">SUM(J28:J30)</f>
        <v>0</v>
      </c>
      <c r="K27" s="35">
        <f t="shared" si="31"/>
        <v>0</v>
      </c>
      <c r="L27" s="35">
        <f>SUM(L28:L30)</f>
        <v>2747.2081000000007</v>
      </c>
      <c r="M27" s="35">
        <f t="shared" si="31"/>
        <v>239.32737316346677</v>
      </c>
      <c r="N27" s="35">
        <f t="shared" si="31"/>
        <v>2221.3576032939427</v>
      </c>
      <c r="O27" s="35">
        <f t="shared" si="31"/>
        <v>35.396812784342906</v>
      </c>
      <c r="P27" s="35">
        <f t="shared" si="31"/>
        <v>251.12631075824774</v>
      </c>
      <c r="Q27" s="35">
        <f t="shared" si="31"/>
        <v>5883.1448</v>
      </c>
      <c r="R27" s="35">
        <f t="shared" si="31"/>
        <v>517.10356363958908</v>
      </c>
      <c r="S27" s="35">
        <f t="shared" si="31"/>
        <v>4753.9807277839136</v>
      </c>
      <c r="T27" s="35">
        <f t="shared" si="31"/>
        <v>71.217708702681051</v>
      </c>
      <c r="U27" s="35">
        <f t="shared" si="31"/>
        <v>540.84279987381615</v>
      </c>
      <c r="V27" s="35">
        <f t="shared" si="31"/>
        <v>0</v>
      </c>
      <c r="W27" s="35">
        <f t="shared" si="31"/>
        <v>2747.2081000000007</v>
      </c>
      <c r="X27" s="35">
        <f t="shared" si="31"/>
        <v>0</v>
      </c>
      <c r="Y27" s="35">
        <f t="shared" si="31"/>
        <v>1599.2431000000001</v>
      </c>
      <c r="Z27" s="35">
        <f t="shared" si="31"/>
        <v>0</v>
      </c>
      <c r="AA27" s="35">
        <f t="shared" si="31"/>
        <v>1248.288</v>
      </c>
      <c r="AB27" s="35">
        <f t="shared" si="31"/>
        <v>0</v>
      </c>
      <c r="AC27" s="35">
        <f t="shared" si="31"/>
        <v>0</v>
      </c>
      <c r="AD27" s="35">
        <f t="shared" si="31"/>
        <v>61.4</v>
      </c>
      <c r="AE27" s="35">
        <f t="shared" si="31"/>
        <v>1660.6431</v>
      </c>
      <c r="AF27" s="35">
        <f t="shared" si="31"/>
        <v>1086.5650000000001</v>
      </c>
      <c r="AG27" s="35">
        <f t="shared" si="31"/>
        <v>2974.2137000000007</v>
      </c>
      <c r="AH27" s="35">
        <f t="shared" si="31"/>
        <v>0</v>
      </c>
      <c r="AI27" s="35">
        <f t="shared" si="31"/>
        <v>1248.288</v>
      </c>
      <c r="AJ27" s="35">
        <f t="shared" si="31"/>
        <v>0</v>
      </c>
      <c r="AK27" s="35">
        <f t="shared" si="31"/>
        <v>0</v>
      </c>
      <c r="AL27" s="35">
        <f t="shared" si="31"/>
        <v>0</v>
      </c>
      <c r="AM27" s="35">
        <f t="shared" si="31"/>
        <v>0</v>
      </c>
      <c r="AN27" s="35">
        <f t="shared" si="31"/>
        <v>1147.9649999999999</v>
      </c>
      <c r="AO27" s="35">
        <f t="shared" si="31"/>
        <v>5883.1448</v>
      </c>
      <c r="AP27" s="98" t="s">
        <v>131</v>
      </c>
      <c r="AQ27" s="86"/>
      <c r="AR27" s="85">
        <f t="shared" si="8"/>
        <v>1599.2431000000006</v>
      </c>
      <c r="AS27" s="85">
        <f t="shared" si="9"/>
        <v>0</v>
      </c>
      <c r="AT27" s="113"/>
      <c r="AV27" s="105">
        <f t="shared" si="10"/>
        <v>-9.0949470177292824E-13</v>
      </c>
      <c r="AX27" s="31"/>
      <c r="AZ27" s="118">
        <v>2974.2137000000007</v>
      </c>
      <c r="BA27" s="118">
        <v>1248.288</v>
      </c>
      <c r="BB27" s="118">
        <v>0</v>
      </c>
      <c r="BC27" s="118">
        <v>0</v>
      </c>
      <c r="BD27" s="8"/>
      <c r="BE27" s="118">
        <f t="shared" si="11"/>
        <v>0</v>
      </c>
      <c r="BF27" s="118">
        <f t="shared" si="12"/>
        <v>0</v>
      </c>
      <c r="BG27" s="118">
        <f t="shared" si="13"/>
        <v>0</v>
      </c>
      <c r="BH27" s="118">
        <f t="shared" si="14"/>
        <v>0</v>
      </c>
      <c r="BI27" s="122">
        <f t="shared" si="15"/>
        <v>0</v>
      </c>
      <c r="BJ27" s="123"/>
      <c r="BK27" s="108"/>
      <c r="BM27" s="128">
        <f t="shared" si="2"/>
        <v>5883.1448</v>
      </c>
      <c r="BN27" s="129">
        <f t="shared" si="3"/>
        <v>0</v>
      </c>
      <c r="CB27" s="75">
        <f t="shared" si="4"/>
        <v>6200.6365117491787</v>
      </c>
      <c r="CJ27" s="70">
        <f t="shared" si="5"/>
        <v>0</v>
      </c>
      <c r="CL27" s="166"/>
      <c r="CM27" s="68"/>
      <c r="CN27" s="35">
        <f t="shared" ref="CN27" si="32">SUM(CN28:CN30)</f>
        <v>61.387999999999998</v>
      </c>
      <c r="CQ27" s="177">
        <f t="shared" si="17"/>
        <v>4634.8568000000005</v>
      </c>
      <c r="CR27" s="177">
        <f t="shared" si="18"/>
        <v>3486.8918000000003</v>
      </c>
    </row>
    <row r="28" spans="1:96" s="8" customFormat="1" ht="37.5" x14ac:dyDescent="0.3">
      <c r="A28" s="44" t="s">
        <v>524</v>
      </c>
      <c r="B28" s="51" t="s">
        <v>45</v>
      </c>
      <c r="C28" s="77" t="s">
        <v>46</v>
      </c>
      <c r="D28" s="28" t="s">
        <v>129</v>
      </c>
      <c r="E28" s="21" t="s">
        <v>486</v>
      </c>
      <c r="F28" s="21">
        <f>IF(K28&gt;0,2018,IF(AC28&gt;0,2019,IF(AE28&gt;0,2020,IF(AG28&gt;0,2021,IF(AI28&gt;0,2022,IF(AK28&gt;0,2023,IF(AM28&gt;0,2024,"нд")))))))</f>
        <v>2020</v>
      </c>
      <c r="G28" s="46">
        <f>IF(AND(L28-(K28+AB28+AD28+AF28+AH28+AJ28+AL28)&lt;0.1,L28-(K28+AB28+AD28+AF28+AH28+AJ28+AL28)&gt;0.00001),"Ошибка в -",IF((K28+AB28+AD28+AF28+AH28+AJ28+AL28)&gt;L28,"Ошибка в +",IF(L28&gt;(K28+AB28+AD28+AF28+AH28+AJ28+AL28),2025,IF(AL28&gt;0,2024,IF(AJ28&gt;0,2023,IF(AH28&gt;0,2022,IF(AF28&gt;0,2021,IF(AD28&gt;0,2020,IF(AB28&gt;0,2019,IF(K28&gt;0,2018,"нд"))))))))))</f>
        <v>2025</v>
      </c>
      <c r="H28" s="46">
        <f>IF(AND((Q28-(K28+AC28+AE28+AG28+AI28+AK28+AM28))&lt;0.1,Q28-(K28+AC28+AE28+AG28+AI28+AK28+AM28)&gt;0.0001),"Ошибка в -",IF((K28+AC28+AE28+AG28+AI28+AK28+AM28)&gt;Q28,"Ошибка в +",IF(Q28&gt;(K28+AC28+AE28+AG28+AI28+AK28+AM28),2025,IF(AM28&gt;0,2024,IF(AK28&gt;0,2023,IF(AI28&gt;0,2022,IF(AG28&gt;0,2021,IF(AE28&gt;0,2020,IF(AC28&gt;0,2019,IF(K28&gt;0,2018,"нд"))))))))))</f>
        <v>2022</v>
      </c>
      <c r="I28" s="22" t="s">
        <v>131</v>
      </c>
      <c r="J28" s="20" t="s">
        <v>131</v>
      </c>
      <c r="K28" s="20">
        <v>0</v>
      </c>
      <c r="L28" s="20">
        <f>M28+N28+O28+P28</f>
        <v>1179.8600000000004</v>
      </c>
      <c r="M28" s="20">
        <v>82.592563163466778</v>
      </c>
      <c r="N28" s="20">
        <v>967.47912329394285</v>
      </c>
      <c r="O28" s="20">
        <v>35.396812784342906</v>
      </c>
      <c r="P28" s="20">
        <v>94.391500758247744</v>
      </c>
      <c r="Q28" s="20">
        <v>2373.8557000000001</v>
      </c>
      <c r="R28" s="20">
        <f>M28/L28*Q28</f>
        <v>166.17465363958911</v>
      </c>
      <c r="S28" s="20">
        <f>N28/L28*Q28</f>
        <v>1946.5494477839136</v>
      </c>
      <c r="T28" s="20">
        <f>O28/L28*Q28</f>
        <v>71.217708702681051</v>
      </c>
      <c r="U28" s="20">
        <f>P28/L28*Q28</f>
        <v>189.91388987381609</v>
      </c>
      <c r="V28" s="20">
        <v>0</v>
      </c>
      <c r="W28" s="20">
        <f>L28-K28</f>
        <v>1179.8600000000004</v>
      </c>
      <c r="X28" s="20"/>
      <c r="Y28" s="20">
        <f>W28-(AB28+AD28+AF28)</f>
        <v>571.00000000000034</v>
      </c>
      <c r="Z28" s="20"/>
      <c r="AA28" s="20">
        <f>Q28-(K28+AC28+AE28+AG28)</f>
        <v>452.61400000000003</v>
      </c>
      <c r="AB28" s="20">
        <v>0</v>
      </c>
      <c r="AC28" s="20">
        <v>0</v>
      </c>
      <c r="AD28" s="174">
        <v>61.4</v>
      </c>
      <c r="AE28" s="20">
        <v>632.4</v>
      </c>
      <c r="AF28" s="20">
        <v>547.46</v>
      </c>
      <c r="AG28" s="20">
        <v>1288.8417000000002</v>
      </c>
      <c r="AH28" s="20">
        <v>0</v>
      </c>
      <c r="AI28" s="20">
        <v>452.61399999999998</v>
      </c>
      <c r="AJ28" s="20">
        <v>0</v>
      </c>
      <c r="AK28" s="20"/>
      <c r="AL28" s="20">
        <v>0</v>
      </c>
      <c r="AM28" s="20"/>
      <c r="AN28" s="20">
        <f t="shared" ref="AN28:AO30" si="33">SUM(AD28+AF28+AH28+AJ28+AL28)</f>
        <v>608.86</v>
      </c>
      <c r="AO28" s="20">
        <f>SUM(AE28+AG28+AI28+AK28+AM28)</f>
        <v>2373.8557000000001</v>
      </c>
      <c r="AP28" s="94" t="s">
        <v>496</v>
      </c>
      <c r="AQ28" s="67"/>
      <c r="AR28" s="85">
        <f t="shared" si="8"/>
        <v>571.00000000000034</v>
      </c>
      <c r="AS28" s="85">
        <f t="shared" si="9"/>
        <v>0</v>
      </c>
      <c r="AT28" s="22">
        <f>Q28-L28</f>
        <v>1193.9956999999997</v>
      </c>
      <c r="AV28" s="105">
        <f>Q28-K28-AC28-AE28-AG28-AI28-AK28-AM28</f>
        <v>-1.7053025658242404E-13</v>
      </c>
      <c r="AX28" s="31"/>
      <c r="AZ28" s="118">
        <v>1288.8417000000002</v>
      </c>
      <c r="BA28" s="118">
        <v>452.61399999999998</v>
      </c>
      <c r="BB28" s="118"/>
      <c r="BC28" s="118"/>
      <c r="BE28" s="118">
        <f t="shared" si="11"/>
        <v>0</v>
      </c>
      <c r="BF28" s="118">
        <f t="shared" si="12"/>
        <v>0</v>
      </c>
      <c r="BG28" s="118">
        <f t="shared" si="13"/>
        <v>0</v>
      </c>
      <c r="BH28" s="118">
        <f t="shared" si="14"/>
        <v>0</v>
      </c>
      <c r="BI28" s="122">
        <f t="shared" si="15"/>
        <v>0</v>
      </c>
      <c r="BJ28" s="118">
        <f>(AO28+AC28+K28)-Q28</f>
        <v>0</v>
      </c>
      <c r="BK28" s="44">
        <v>2022</v>
      </c>
      <c r="BL28" s="8" t="b">
        <f>EXACT(BK28,H28)</f>
        <v>1</v>
      </c>
      <c r="BM28" s="128">
        <f t="shared" si="2"/>
        <v>2373.8557000000001</v>
      </c>
      <c r="BN28" s="129">
        <f t="shared" si="3"/>
        <v>0</v>
      </c>
      <c r="BR28" s="73">
        <f>K28/$BR$15</f>
        <v>0</v>
      </c>
      <c r="BS28" s="73">
        <f>AC28/$BS$15</f>
        <v>0</v>
      </c>
      <c r="BT28" s="73">
        <f>AE28/$BT$15</f>
        <v>577.14570015397715</v>
      </c>
      <c r="BU28" s="73">
        <f>AG28/$BU$15</f>
        <v>1128.4136043628077</v>
      </c>
      <c r="BV28" s="73">
        <f>AI28/$BV$15</f>
        <v>379.86467564824233</v>
      </c>
      <c r="BW28" s="73">
        <f>AK28/$BW$15</f>
        <v>0</v>
      </c>
      <c r="BX28" s="73">
        <f>AM28/$BX$15</f>
        <v>0</v>
      </c>
      <c r="BY28" s="73">
        <f>(Q28-K28-AC28-AE28-AG28-AI28-AK28-AM28)/$BY$15</f>
        <v>-1.2571641769008303E-13</v>
      </c>
      <c r="BZ28" s="74">
        <f>SUM(BR28:BY28)*1.2</f>
        <v>2502.5087761980321</v>
      </c>
      <c r="CB28" s="75">
        <f t="shared" si="4"/>
        <v>2502.5087761980321</v>
      </c>
      <c r="CJ28" s="70">
        <f t="shared" si="5"/>
        <v>3.4106051316484809E-13</v>
      </c>
      <c r="CK28" s="166"/>
      <c r="CL28" s="166"/>
      <c r="CM28" s="68"/>
      <c r="CN28" s="20">
        <v>61.387999999999998</v>
      </c>
      <c r="CQ28" s="177">
        <f t="shared" si="17"/>
        <v>1921.2417</v>
      </c>
      <c r="CR28" s="177">
        <f t="shared" si="18"/>
        <v>1312.3816999999999</v>
      </c>
    </row>
    <row r="29" spans="1:96" s="8" customFormat="1" ht="37.5" x14ac:dyDescent="0.3">
      <c r="A29" s="44" t="s">
        <v>524</v>
      </c>
      <c r="B29" s="51" t="s">
        <v>47</v>
      </c>
      <c r="C29" s="77" t="s">
        <v>48</v>
      </c>
      <c r="D29" s="28" t="s">
        <v>129</v>
      </c>
      <c r="E29" s="21" t="s">
        <v>486</v>
      </c>
      <c r="F29" s="21">
        <f t="shared" ref="F29:F30" si="34">IF(K29&gt;0,2018,IF(AC29&gt;0,2019,IF(AE29&gt;0,2020,IF(AG29&gt;0,2021,IF(AI29&gt;0,2022,IF(AK29&gt;0,2023,IF(AM29&gt;0,2024,"нд")))))))</f>
        <v>2020</v>
      </c>
      <c r="G29" s="46">
        <f t="shared" ref="G29:G30" si="35">IF(AND(L29-(K29+AB29+AD29+AF29+AH29+AJ29+AL29)&lt;0.1,L29-(K29+AB29+AD29+AF29+AH29+AJ29+AL29)&gt;0.00001),"Ошибка в -",IF((K29+AB29+AD29+AF29+AH29+AJ29+AL29)&gt;L29,"Ошибка в +",IF(L29&gt;(K29+AB29+AD29+AF29+AH29+AJ29+AL29),2025,IF(AL29&gt;0,2024,IF(AJ29&gt;0,2023,IF(AH29&gt;0,2022,IF(AF29&gt;0,2021,IF(AD29&gt;0,2020,IF(AB29&gt;0,2019,IF(K29&gt;0,2018,"нд"))))))))))</f>
        <v>2025</v>
      </c>
      <c r="H29" s="46">
        <f t="shared" ref="H29:H30" si="36">IF(AND((Q29-(K29+AC29+AE29+AG29+AI29+AK29+AM29))&lt;0.1,Q29-(K29+AC29+AE29+AG29+AI29+AK29+AM29)&gt;0.0001),"Ошибка в -",IF((K29+AC29+AE29+AG29+AI29+AK29+AM29)&gt;Q29,"Ошибка в +",IF(Q29&gt;(K29+AC29+AE29+AG29+AI29+AK29+AM29),2025,IF(AM29&gt;0,2024,IF(AK29&gt;0,2023,IF(AI29&gt;0,2022,IF(AG29&gt;0,2021,IF(AE29&gt;0,2020,IF(AC29&gt;0,2019,IF(K29&gt;0,2018,"нд"))))))))))</f>
        <v>2022</v>
      </c>
      <c r="I29" s="22" t="s">
        <v>131</v>
      </c>
      <c r="J29" s="20" t="s">
        <v>131</v>
      </c>
      <c r="K29" s="20">
        <v>0</v>
      </c>
      <c r="L29" s="20">
        <f t="shared" ref="L29:L30" si="37">M29+N29+O29+P29</f>
        <v>1193.1691000000001</v>
      </c>
      <c r="M29" s="20">
        <v>119.31691000000001</v>
      </c>
      <c r="N29" s="20">
        <v>954.53528000000006</v>
      </c>
      <c r="O29" s="20">
        <v>0</v>
      </c>
      <c r="P29" s="20">
        <v>119.31691000000001</v>
      </c>
      <c r="Q29" s="20">
        <v>2687.8822</v>
      </c>
      <c r="R29" s="20">
        <f>0.1*Q29</f>
        <v>268.78822000000002</v>
      </c>
      <c r="S29" s="20">
        <f>0.8*Q29</f>
        <v>2150.3057600000002</v>
      </c>
      <c r="T29" s="20">
        <f>0*Q29</f>
        <v>0</v>
      </c>
      <c r="U29" s="20">
        <f>0.1*Q29</f>
        <v>268.78822000000002</v>
      </c>
      <c r="V29" s="20">
        <v>0</v>
      </c>
      <c r="W29" s="20">
        <f>L29-K29</f>
        <v>1193.1691000000001</v>
      </c>
      <c r="X29" s="20"/>
      <c r="Y29" s="20">
        <f>W29-(AB29+AD29+AF29)</f>
        <v>786.54310000000009</v>
      </c>
      <c r="Z29" s="20"/>
      <c r="AA29" s="20">
        <f t="shared" ref="AA29:AA30" si="38">Q29-(K29+AC29+AE29+AG29)</f>
        <v>461.39499999999998</v>
      </c>
      <c r="AB29" s="20">
        <v>0</v>
      </c>
      <c r="AC29" s="20">
        <v>0</v>
      </c>
      <c r="AD29" s="174">
        <v>0</v>
      </c>
      <c r="AE29" s="20">
        <v>786.54309999999998</v>
      </c>
      <c r="AF29" s="20">
        <v>406.62599999999998</v>
      </c>
      <c r="AG29" s="20">
        <v>1439.9441000000002</v>
      </c>
      <c r="AH29" s="20">
        <v>0</v>
      </c>
      <c r="AI29" s="20">
        <v>461.39499999999998</v>
      </c>
      <c r="AJ29" s="20">
        <v>0</v>
      </c>
      <c r="AK29" s="20"/>
      <c r="AL29" s="20">
        <v>0</v>
      </c>
      <c r="AM29" s="20"/>
      <c r="AN29" s="20">
        <f t="shared" si="33"/>
        <v>406.62599999999998</v>
      </c>
      <c r="AO29" s="20">
        <f t="shared" si="33"/>
        <v>2687.8822</v>
      </c>
      <c r="AP29" s="94" t="s">
        <v>496</v>
      </c>
      <c r="AQ29" s="86"/>
      <c r="AR29" s="85">
        <f t="shared" si="8"/>
        <v>786.54310000000009</v>
      </c>
      <c r="AS29" s="85">
        <f t="shared" si="9"/>
        <v>0</v>
      </c>
      <c r="AT29" s="22">
        <f t="shared" ref="AT29:AT101" si="39">Q29-L29</f>
        <v>1494.7130999999999</v>
      </c>
      <c r="AV29" s="105">
        <f t="shared" ref="AV29:AV100" si="40">Q29-K29-AC29-AE29-AG29-AI29-AK29-AM29</f>
        <v>0</v>
      </c>
      <c r="AX29" s="31"/>
      <c r="AY29" s="166"/>
      <c r="AZ29" s="118">
        <v>1439.9441000000002</v>
      </c>
      <c r="BA29" s="118">
        <v>461.39499999999998</v>
      </c>
      <c r="BB29" s="118"/>
      <c r="BC29" s="118"/>
      <c r="BE29" s="118">
        <f t="shared" si="11"/>
        <v>0</v>
      </c>
      <c r="BF29" s="118">
        <f t="shared" si="12"/>
        <v>0</v>
      </c>
      <c r="BG29" s="118">
        <f t="shared" si="13"/>
        <v>0</v>
      </c>
      <c r="BH29" s="118">
        <f t="shared" si="14"/>
        <v>0</v>
      </c>
      <c r="BI29" s="122">
        <f t="shared" si="15"/>
        <v>0</v>
      </c>
      <c r="BJ29" s="118">
        <f t="shared" ref="BJ29:BJ30" si="41">(AO29+AC29+K29)-Q29</f>
        <v>0</v>
      </c>
      <c r="BK29" s="44">
        <v>2022</v>
      </c>
      <c r="BL29" s="8" t="b">
        <f t="shared" ref="BL29:BL30" si="42">EXACT(BK29,H29)</f>
        <v>1</v>
      </c>
      <c r="BM29" s="128">
        <f t="shared" si="2"/>
        <v>2687.8822</v>
      </c>
      <c r="BN29" s="129">
        <f t="shared" si="3"/>
        <v>0</v>
      </c>
      <c r="BR29" s="73">
        <f>K29/$BR$15</f>
        <v>0</v>
      </c>
      <c r="BS29" s="73">
        <f>AC29/$BS$15</f>
        <v>0</v>
      </c>
      <c r="BT29" s="73">
        <f>AE29/$BT$15</f>
        <v>717.82094900502784</v>
      </c>
      <c r="BU29" s="73">
        <f>AG29/$BU$15</f>
        <v>1260.7075888078102</v>
      </c>
      <c r="BV29" s="73">
        <f>AI29/$BV$15</f>
        <v>387.2342924008554</v>
      </c>
      <c r="BW29" s="73">
        <f>AK29/$BW$15</f>
        <v>0</v>
      </c>
      <c r="BX29" s="73">
        <f>AM29/$BX$15</f>
        <v>0</v>
      </c>
      <c r="BY29" s="73">
        <f>(Q29-K29-AC29-AE29-AG29-AI29-AK29-AM29)/$BY$15</f>
        <v>0</v>
      </c>
      <c r="BZ29" s="74">
        <f>SUM(BR29:BY29)*1.2</f>
        <v>2838.9153962564324</v>
      </c>
      <c r="CB29" s="75">
        <f t="shared" si="4"/>
        <v>2838.9153962564324</v>
      </c>
      <c r="CJ29" s="70">
        <f t="shared" si="5"/>
        <v>0</v>
      </c>
      <c r="CK29" s="166"/>
      <c r="CL29" s="166"/>
      <c r="CM29" s="68"/>
      <c r="CN29" s="20"/>
      <c r="CQ29" s="177">
        <f t="shared" si="17"/>
        <v>2226.4872</v>
      </c>
      <c r="CR29" s="177">
        <f t="shared" si="18"/>
        <v>1819.8612000000001</v>
      </c>
    </row>
    <row r="30" spans="1:96" s="8" customFormat="1" ht="37.5" x14ac:dyDescent="0.3">
      <c r="A30" s="44" t="s">
        <v>524</v>
      </c>
      <c r="B30" s="51" t="s">
        <v>49</v>
      </c>
      <c r="C30" s="77" t="s">
        <v>578</v>
      </c>
      <c r="D30" s="28" t="s">
        <v>129</v>
      </c>
      <c r="E30" s="21" t="s">
        <v>486</v>
      </c>
      <c r="F30" s="21">
        <f t="shared" si="34"/>
        <v>2020</v>
      </c>
      <c r="G30" s="46">
        <f t="shared" si="35"/>
        <v>2025</v>
      </c>
      <c r="H30" s="46">
        <f t="shared" si="36"/>
        <v>2022</v>
      </c>
      <c r="I30" s="22" t="s">
        <v>131</v>
      </c>
      <c r="J30" s="20" t="s">
        <v>131</v>
      </c>
      <c r="K30" s="20">
        <v>0</v>
      </c>
      <c r="L30" s="20">
        <f t="shared" si="37"/>
        <v>374.17899999999992</v>
      </c>
      <c r="M30" s="20">
        <v>37.417899999999996</v>
      </c>
      <c r="N30" s="20">
        <v>299.34319999999997</v>
      </c>
      <c r="O30" s="20">
        <v>0</v>
      </c>
      <c r="P30" s="20">
        <v>37.417899999999996</v>
      </c>
      <c r="Q30" s="20">
        <v>821.40689999999995</v>
      </c>
      <c r="R30" s="20">
        <f>0.1*Q30</f>
        <v>82.140690000000006</v>
      </c>
      <c r="S30" s="20">
        <f>0.8*Q30</f>
        <v>657.12552000000005</v>
      </c>
      <c r="T30" s="20">
        <f>0*Q30</f>
        <v>0</v>
      </c>
      <c r="U30" s="20">
        <f>0.1*Q30</f>
        <v>82.140690000000006</v>
      </c>
      <c r="V30" s="20">
        <v>0</v>
      </c>
      <c r="W30" s="20">
        <f t="shared" ref="W30" si="43">L30-K30</f>
        <v>374.17899999999992</v>
      </c>
      <c r="X30" s="20"/>
      <c r="Y30" s="20">
        <f>W30-(AB30+AD30+AF30)</f>
        <v>241.6999999999999</v>
      </c>
      <c r="Z30" s="20"/>
      <c r="AA30" s="20">
        <f t="shared" si="38"/>
        <v>334.27899999999994</v>
      </c>
      <c r="AB30" s="20">
        <v>0</v>
      </c>
      <c r="AC30" s="20">
        <v>0</v>
      </c>
      <c r="AD30" s="174">
        <v>0</v>
      </c>
      <c r="AE30" s="20">
        <v>241.7</v>
      </c>
      <c r="AF30" s="20">
        <v>132.47900000000001</v>
      </c>
      <c r="AG30" s="20">
        <v>245.42790000000002</v>
      </c>
      <c r="AH30" s="20">
        <v>0</v>
      </c>
      <c r="AI30" s="20">
        <v>334.279</v>
      </c>
      <c r="AJ30" s="20">
        <v>0</v>
      </c>
      <c r="AK30" s="20"/>
      <c r="AL30" s="20">
        <v>0</v>
      </c>
      <c r="AM30" s="20"/>
      <c r="AN30" s="20">
        <f t="shared" si="33"/>
        <v>132.47900000000001</v>
      </c>
      <c r="AO30" s="20">
        <f t="shared" si="33"/>
        <v>821.40689999999995</v>
      </c>
      <c r="AP30" s="94" t="s">
        <v>496</v>
      </c>
      <c r="AQ30" s="86"/>
      <c r="AR30" s="85">
        <f t="shared" si="8"/>
        <v>241.6999999999999</v>
      </c>
      <c r="AS30" s="85">
        <f t="shared" si="9"/>
        <v>0</v>
      </c>
      <c r="AT30" s="22">
        <f t="shared" si="39"/>
        <v>447.22790000000003</v>
      </c>
      <c r="AV30" s="105">
        <f t="shared" si="40"/>
        <v>-1.1368683772161603E-13</v>
      </c>
      <c r="AX30" s="31"/>
      <c r="AY30" s="166"/>
      <c r="AZ30" s="118">
        <v>245.42790000000002</v>
      </c>
      <c r="BA30" s="118">
        <v>334.279</v>
      </c>
      <c r="BB30" s="118"/>
      <c r="BC30" s="118"/>
      <c r="BE30" s="118">
        <f t="shared" si="11"/>
        <v>0</v>
      </c>
      <c r="BF30" s="118">
        <f t="shared" si="12"/>
        <v>0</v>
      </c>
      <c r="BG30" s="118">
        <f t="shared" si="13"/>
        <v>0</v>
      </c>
      <c r="BH30" s="118">
        <f t="shared" si="14"/>
        <v>0</v>
      </c>
      <c r="BI30" s="122">
        <f t="shared" si="15"/>
        <v>0</v>
      </c>
      <c r="BJ30" s="118">
        <f t="shared" si="41"/>
        <v>0</v>
      </c>
      <c r="BK30" s="44">
        <v>2022</v>
      </c>
      <c r="BL30" s="8" t="b">
        <f t="shared" si="42"/>
        <v>1</v>
      </c>
      <c r="BM30" s="128">
        <f t="shared" si="2"/>
        <v>821.40689999999995</v>
      </c>
      <c r="BN30" s="129">
        <f t="shared" si="3"/>
        <v>0</v>
      </c>
      <c r="BR30" s="73">
        <f>K30/$BR$15</f>
        <v>0</v>
      </c>
      <c r="BS30" s="73">
        <f>AC30/$BS$15</f>
        <v>0</v>
      </c>
      <c r="BT30" s="73">
        <f>AE30/$BT$15</f>
        <v>220.58209318029137</v>
      </c>
      <c r="BU30" s="73">
        <f>AG30/$BU$15</f>
        <v>214.87835259380162</v>
      </c>
      <c r="BV30" s="73">
        <f>AI30/$BV$15</f>
        <v>280.54983697150067</v>
      </c>
      <c r="BW30" s="73">
        <f>AK30/$BW$15</f>
        <v>0</v>
      </c>
      <c r="BX30" s="73">
        <f>AM30/$BX$15</f>
        <v>0</v>
      </c>
      <c r="BY30" s="73">
        <f>(Q30-K30-AC30-AE30-AG30-AI30-AK30-AM30)/$BY$15</f>
        <v>-8.3810945126722021E-14</v>
      </c>
      <c r="BZ30" s="74">
        <f>SUM(BR30:BY30)*1.2</f>
        <v>859.21233929471225</v>
      </c>
      <c r="CB30" s="75">
        <f t="shared" si="4"/>
        <v>859.21233929471248</v>
      </c>
      <c r="CJ30" s="70">
        <f t="shared" si="5"/>
        <v>0</v>
      </c>
      <c r="CK30" s="166"/>
      <c r="CL30" s="166"/>
      <c r="CM30" s="68"/>
      <c r="CN30" s="20"/>
      <c r="CQ30" s="177">
        <f t="shared" si="17"/>
        <v>487.12790000000001</v>
      </c>
      <c r="CR30" s="177">
        <f t="shared" si="18"/>
        <v>354.64890000000003</v>
      </c>
    </row>
    <row r="31" spans="1:96" ht="37.5" x14ac:dyDescent="0.3">
      <c r="B31" s="54" t="s">
        <v>50</v>
      </c>
      <c r="C31" s="55" t="s">
        <v>51</v>
      </c>
      <c r="D31" s="35" t="s">
        <v>129</v>
      </c>
      <c r="E31" s="35"/>
      <c r="F31" s="35"/>
      <c r="G31" s="36"/>
      <c r="H31" s="36"/>
      <c r="I31" s="37" t="s">
        <v>131</v>
      </c>
      <c r="J31" s="35">
        <f>SUM(J32:J33)</f>
        <v>0</v>
      </c>
      <c r="K31" s="35">
        <f>K32+K33</f>
        <v>0</v>
      </c>
      <c r="L31" s="35">
        <f t="shared" ref="L31:Z31" si="44">L32+L33</f>
        <v>0</v>
      </c>
      <c r="M31" s="35">
        <f t="shared" si="44"/>
        <v>0</v>
      </c>
      <c r="N31" s="35">
        <f t="shared" si="44"/>
        <v>0</v>
      </c>
      <c r="O31" s="35">
        <f t="shared" si="44"/>
        <v>0</v>
      </c>
      <c r="P31" s="35">
        <f t="shared" si="44"/>
        <v>0</v>
      </c>
      <c r="Q31" s="35">
        <f t="shared" si="44"/>
        <v>0</v>
      </c>
      <c r="R31" s="35">
        <f t="shared" si="44"/>
        <v>0</v>
      </c>
      <c r="S31" s="35">
        <f t="shared" si="44"/>
        <v>0</v>
      </c>
      <c r="T31" s="35">
        <f t="shared" si="44"/>
        <v>0</v>
      </c>
      <c r="U31" s="35">
        <f t="shared" si="44"/>
        <v>0</v>
      </c>
      <c r="V31" s="35">
        <f t="shared" si="44"/>
        <v>0</v>
      </c>
      <c r="W31" s="35">
        <f t="shared" si="44"/>
        <v>0</v>
      </c>
      <c r="X31" s="35">
        <f t="shared" si="44"/>
        <v>0</v>
      </c>
      <c r="Y31" s="35">
        <f t="shared" si="44"/>
        <v>0</v>
      </c>
      <c r="Z31" s="35">
        <f t="shared" si="44"/>
        <v>0</v>
      </c>
      <c r="AA31" s="35">
        <f t="shared" ref="AA31:AA33" si="45">Q31-(K31+AC31+AE31)</f>
        <v>0</v>
      </c>
      <c r="AB31" s="35">
        <f t="shared" ref="AB31:AO31" si="46">AB32+AB33</f>
        <v>0</v>
      </c>
      <c r="AC31" s="35">
        <f t="shared" si="46"/>
        <v>0</v>
      </c>
      <c r="AD31" s="35">
        <f t="shared" si="46"/>
        <v>0</v>
      </c>
      <c r="AE31" s="35">
        <f t="shared" si="46"/>
        <v>0</v>
      </c>
      <c r="AF31" s="35">
        <f t="shared" si="46"/>
        <v>0</v>
      </c>
      <c r="AG31" s="35">
        <f t="shared" si="46"/>
        <v>0</v>
      </c>
      <c r="AH31" s="35">
        <f t="shared" si="46"/>
        <v>0</v>
      </c>
      <c r="AI31" s="35">
        <f t="shared" si="46"/>
        <v>0</v>
      </c>
      <c r="AJ31" s="35">
        <f t="shared" si="46"/>
        <v>0</v>
      </c>
      <c r="AK31" s="35">
        <f t="shared" si="46"/>
        <v>0</v>
      </c>
      <c r="AL31" s="35">
        <f t="shared" si="46"/>
        <v>0</v>
      </c>
      <c r="AM31" s="35">
        <f t="shared" si="46"/>
        <v>0</v>
      </c>
      <c r="AN31" s="35">
        <f t="shared" si="46"/>
        <v>0</v>
      </c>
      <c r="AO31" s="35">
        <f t="shared" si="46"/>
        <v>0</v>
      </c>
      <c r="AP31" s="98" t="s">
        <v>131</v>
      </c>
      <c r="AQ31" s="86"/>
      <c r="AR31" s="85">
        <f t="shared" si="8"/>
        <v>0</v>
      </c>
      <c r="AS31" s="85">
        <f t="shared" si="9"/>
        <v>0</v>
      </c>
      <c r="AT31" s="113"/>
      <c r="AV31" s="105">
        <f t="shared" si="40"/>
        <v>0</v>
      </c>
      <c r="AX31" s="31"/>
      <c r="AY31" s="15"/>
      <c r="AZ31" s="118">
        <v>0</v>
      </c>
      <c r="BA31" s="118">
        <v>0</v>
      </c>
      <c r="BB31" s="118">
        <v>0</v>
      </c>
      <c r="BC31" s="118">
        <v>0</v>
      </c>
      <c r="BD31" s="8"/>
      <c r="BE31" s="118">
        <f t="shared" si="11"/>
        <v>0</v>
      </c>
      <c r="BF31" s="118">
        <f t="shared" si="12"/>
        <v>0</v>
      </c>
      <c r="BG31" s="118">
        <f t="shared" si="13"/>
        <v>0</v>
      </c>
      <c r="BH31" s="118">
        <f t="shared" si="14"/>
        <v>0</v>
      </c>
      <c r="BI31" s="122">
        <f t="shared" si="15"/>
        <v>0</v>
      </c>
      <c r="BJ31" s="123"/>
      <c r="BK31" s="108"/>
      <c r="BM31" s="128">
        <f t="shared" si="2"/>
        <v>0</v>
      </c>
      <c r="BN31" s="129">
        <f t="shared" si="3"/>
        <v>0</v>
      </c>
      <c r="CB31" s="75">
        <f t="shared" si="4"/>
        <v>0</v>
      </c>
      <c r="CJ31" s="70">
        <f t="shared" si="5"/>
        <v>0</v>
      </c>
      <c r="CL31" s="166"/>
      <c r="CM31" s="68"/>
      <c r="CN31" s="35">
        <f t="shared" ref="CN31" si="47">CN32+CN33</f>
        <v>0</v>
      </c>
      <c r="CQ31" s="177">
        <f t="shared" si="17"/>
        <v>0</v>
      </c>
      <c r="CR31" s="177">
        <f t="shared" si="18"/>
        <v>0</v>
      </c>
    </row>
    <row r="32" spans="1:96" ht="56.25" x14ac:dyDescent="0.3">
      <c r="B32" s="56" t="s">
        <v>52</v>
      </c>
      <c r="C32" s="57" t="s">
        <v>53</v>
      </c>
      <c r="D32" s="32" t="s">
        <v>129</v>
      </c>
      <c r="E32" s="32"/>
      <c r="F32" s="32"/>
      <c r="G32" s="33"/>
      <c r="H32" s="33"/>
      <c r="I32" s="34" t="s">
        <v>131</v>
      </c>
      <c r="J32" s="32" t="s">
        <v>131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f t="shared" si="45"/>
        <v>0</v>
      </c>
      <c r="AB32" s="32">
        <v>0</v>
      </c>
      <c r="AC32" s="32">
        <v>0</v>
      </c>
      <c r="AD32" s="32">
        <v>0</v>
      </c>
      <c r="AE32" s="32">
        <v>0</v>
      </c>
      <c r="AF32" s="32">
        <v>0</v>
      </c>
      <c r="AG32" s="32">
        <v>0</v>
      </c>
      <c r="AH32" s="32">
        <v>0</v>
      </c>
      <c r="AI32" s="32">
        <v>0</v>
      </c>
      <c r="AJ32" s="32">
        <v>0</v>
      </c>
      <c r="AK32" s="32">
        <v>0</v>
      </c>
      <c r="AL32" s="32">
        <v>0</v>
      </c>
      <c r="AM32" s="32">
        <v>0</v>
      </c>
      <c r="AN32" s="32">
        <v>0</v>
      </c>
      <c r="AO32" s="32">
        <v>0</v>
      </c>
      <c r="AP32" s="99" t="s">
        <v>131</v>
      </c>
      <c r="AQ32" s="86"/>
      <c r="AR32" s="85">
        <f t="shared" si="8"/>
        <v>0</v>
      </c>
      <c r="AS32" s="85">
        <f t="shared" si="9"/>
        <v>0</v>
      </c>
      <c r="AT32" s="113"/>
      <c r="AV32" s="105">
        <f t="shared" si="40"/>
        <v>0</v>
      </c>
      <c r="AX32" s="31"/>
      <c r="AY32" s="15"/>
      <c r="AZ32" s="118">
        <v>0</v>
      </c>
      <c r="BA32" s="118">
        <v>0</v>
      </c>
      <c r="BB32" s="118">
        <v>0</v>
      </c>
      <c r="BC32" s="118">
        <v>0</v>
      </c>
      <c r="BD32" s="8"/>
      <c r="BE32" s="118">
        <f t="shared" si="11"/>
        <v>0</v>
      </c>
      <c r="BF32" s="118">
        <f t="shared" si="12"/>
        <v>0</v>
      </c>
      <c r="BG32" s="118">
        <f t="shared" si="13"/>
        <v>0</v>
      </c>
      <c r="BH32" s="118">
        <f t="shared" si="14"/>
        <v>0</v>
      </c>
      <c r="BI32" s="122">
        <f t="shared" si="15"/>
        <v>0</v>
      </c>
      <c r="BJ32" s="123"/>
      <c r="BK32" s="108"/>
      <c r="BM32" s="128">
        <f t="shared" si="2"/>
        <v>0</v>
      </c>
      <c r="BN32" s="129">
        <f t="shared" si="3"/>
        <v>0</v>
      </c>
      <c r="CB32" s="75">
        <f t="shared" si="4"/>
        <v>0</v>
      </c>
      <c r="CJ32" s="70">
        <f t="shared" si="5"/>
        <v>0</v>
      </c>
      <c r="CL32" s="166"/>
      <c r="CM32" s="68"/>
      <c r="CN32" s="32">
        <v>0</v>
      </c>
      <c r="CQ32" s="177">
        <f t="shared" si="17"/>
        <v>0</v>
      </c>
      <c r="CR32" s="177">
        <f t="shared" si="18"/>
        <v>0</v>
      </c>
    </row>
    <row r="33" spans="1:96" ht="37.5" x14ac:dyDescent="0.3">
      <c r="B33" s="56" t="s">
        <v>54</v>
      </c>
      <c r="C33" s="57" t="s">
        <v>55</v>
      </c>
      <c r="D33" s="32" t="s">
        <v>129</v>
      </c>
      <c r="E33" s="32"/>
      <c r="F33" s="32"/>
      <c r="G33" s="33"/>
      <c r="H33" s="33"/>
      <c r="I33" s="34" t="s">
        <v>131</v>
      </c>
      <c r="J33" s="32" t="s">
        <v>131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f t="shared" si="45"/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99" t="s">
        <v>131</v>
      </c>
      <c r="AQ33" s="86"/>
      <c r="AR33" s="85">
        <f t="shared" si="8"/>
        <v>0</v>
      </c>
      <c r="AS33" s="85">
        <f t="shared" si="9"/>
        <v>0</v>
      </c>
      <c r="AT33" s="113"/>
      <c r="AV33" s="105">
        <f t="shared" si="40"/>
        <v>0</v>
      </c>
      <c r="AX33" s="31"/>
      <c r="AY33" s="15"/>
      <c r="AZ33" s="118">
        <v>0</v>
      </c>
      <c r="BA33" s="118">
        <v>0</v>
      </c>
      <c r="BB33" s="118">
        <v>0</v>
      </c>
      <c r="BC33" s="118">
        <v>0</v>
      </c>
      <c r="BD33" s="8"/>
      <c r="BE33" s="118">
        <f t="shared" si="11"/>
        <v>0</v>
      </c>
      <c r="BF33" s="118">
        <f t="shared" si="12"/>
        <v>0</v>
      </c>
      <c r="BG33" s="118">
        <f t="shared" si="13"/>
        <v>0</v>
      </c>
      <c r="BH33" s="118">
        <f t="shared" si="14"/>
        <v>0</v>
      </c>
      <c r="BI33" s="122">
        <f t="shared" si="15"/>
        <v>0</v>
      </c>
      <c r="BJ33" s="123"/>
      <c r="BK33" s="108"/>
      <c r="BM33" s="128">
        <f t="shared" si="2"/>
        <v>0</v>
      </c>
      <c r="BN33" s="129">
        <f t="shared" si="3"/>
        <v>0</v>
      </c>
      <c r="CB33" s="75">
        <f t="shared" si="4"/>
        <v>0</v>
      </c>
      <c r="CJ33" s="70">
        <f t="shared" si="5"/>
        <v>0</v>
      </c>
      <c r="CL33" s="166"/>
      <c r="CM33" s="68"/>
      <c r="CN33" s="32">
        <v>0</v>
      </c>
      <c r="CQ33" s="177">
        <f t="shared" si="17"/>
        <v>0</v>
      </c>
      <c r="CR33" s="177">
        <f t="shared" si="18"/>
        <v>0</v>
      </c>
    </row>
    <row r="34" spans="1:96" ht="37.5" x14ac:dyDescent="0.3">
      <c r="B34" s="54" t="s">
        <v>56</v>
      </c>
      <c r="C34" s="55" t="s">
        <v>57</v>
      </c>
      <c r="D34" s="35" t="s">
        <v>129</v>
      </c>
      <c r="E34" s="35"/>
      <c r="F34" s="35"/>
      <c r="G34" s="36"/>
      <c r="H34" s="36"/>
      <c r="I34" s="37" t="s">
        <v>131</v>
      </c>
      <c r="J34" s="35">
        <f>J35+J41+J46</f>
        <v>715.29449</v>
      </c>
      <c r="K34" s="35">
        <f t="shared" ref="K34:AO34" si="48">K35+K41+K46</f>
        <v>0</v>
      </c>
      <c r="L34" s="35">
        <f t="shared" si="48"/>
        <v>732.18000000000006</v>
      </c>
      <c r="M34" s="35">
        <f t="shared" si="48"/>
        <v>51.252600000000001</v>
      </c>
      <c r="N34" s="35">
        <f t="shared" si="48"/>
        <v>629.6748</v>
      </c>
      <c r="O34" s="35">
        <f t="shared" si="48"/>
        <v>0</v>
      </c>
      <c r="P34" s="35">
        <f t="shared" si="48"/>
        <v>51.252600000000001</v>
      </c>
      <c r="Q34" s="35">
        <f t="shared" si="48"/>
        <v>1003.20449</v>
      </c>
      <c r="R34" s="35">
        <f t="shared" si="48"/>
        <v>70.224314300000003</v>
      </c>
      <c r="S34" s="35">
        <f t="shared" si="48"/>
        <v>859.87676140000008</v>
      </c>
      <c r="T34" s="35">
        <f t="shared" si="48"/>
        <v>8.6372999999999998</v>
      </c>
      <c r="U34" s="35">
        <f t="shared" si="48"/>
        <v>64.466114300000001</v>
      </c>
      <c r="V34" s="35">
        <f t="shared" si="48"/>
        <v>0</v>
      </c>
      <c r="W34" s="35">
        <f t="shared" si="48"/>
        <v>732.18000000000006</v>
      </c>
      <c r="X34" s="35">
        <f t="shared" si="48"/>
        <v>0</v>
      </c>
      <c r="Y34" s="35">
        <f t="shared" si="48"/>
        <v>106.90000000000009</v>
      </c>
      <c r="Z34" s="35">
        <f t="shared" si="48"/>
        <v>0</v>
      </c>
      <c r="AA34" s="35">
        <f t="shared" si="48"/>
        <v>299.94590000000005</v>
      </c>
      <c r="AB34" s="35">
        <f t="shared" si="48"/>
        <v>0</v>
      </c>
      <c r="AC34" s="35">
        <f t="shared" si="48"/>
        <v>0</v>
      </c>
      <c r="AD34" s="35">
        <f t="shared" si="48"/>
        <v>0</v>
      </c>
      <c r="AE34" s="35">
        <f t="shared" si="48"/>
        <v>106.89999999999999</v>
      </c>
      <c r="AF34" s="35">
        <f t="shared" si="48"/>
        <v>625.28</v>
      </c>
      <c r="AG34" s="35">
        <f t="shared" si="48"/>
        <v>596.35859000000005</v>
      </c>
      <c r="AH34" s="35">
        <f t="shared" si="48"/>
        <v>0</v>
      </c>
      <c r="AI34" s="35">
        <f t="shared" si="48"/>
        <v>299.94590000000005</v>
      </c>
      <c r="AJ34" s="35">
        <f t="shared" si="48"/>
        <v>0</v>
      </c>
      <c r="AK34" s="35">
        <f t="shared" si="48"/>
        <v>0</v>
      </c>
      <c r="AL34" s="35">
        <f t="shared" si="48"/>
        <v>0</v>
      </c>
      <c r="AM34" s="35">
        <f t="shared" si="48"/>
        <v>0</v>
      </c>
      <c r="AN34" s="35">
        <f t="shared" si="48"/>
        <v>649.57999999999993</v>
      </c>
      <c r="AO34" s="35">
        <f t="shared" si="48"/>
        <v>1003.20449</v>
      </c>
      <c r="AP34" s="98" t="s">
        <v>131</v>
      </c>
      <c r="AQ34" s="86"/>
      <c r="AR34" s="85">
        <f t="shared" si="8"/>
        <v>106.90000000000009</v>
      </c>
      <c r="AS34" s="85">
        <f t="shared" si="9"/>
        <v>0</v>
      </c>
      <c r="AT34" s="113"/>
      <c r="AV34" s="105">
        <f t="shared" si="40"/>
        <v>-1.1368683772161603E-13</v>
      </c>
      <c r="AX34" s="31"/>
      <c r="AY34" s="15"/>
      <c r="AZ34" s="118">
        <v>596.35859000000005</v>
      </c>
      <c r="BA34" s="118">
        <v>282.41000000000003</v>
      </c>
      <c r="BB34" s="118">
        <v>0</v>
      </c>
      <c r="BC34" s="118">
        <v>0</v>
      </c>
      <c r="BD34" s="8"/>
      <c r="BE34" s="118">
        <f t="shared" si="11"/>
        <v>0</v>
      </c>
      <c r="BF34" s="118">
        <f t="shared" si="12"/>
        <v>17.535900000000026</v>
      </c>
      <c r="BG34" s="118">
        <f t="shared" si="13"/>
        <v>0</v>
      </c>
      <c r="BH34" s="118">
        <f t="shared" si="14"/>
        <v>0</v>
      </c>
      <c r="BI34" s="122">
        <f t="shared" si="15"/>
        <v>17.535900000000026</v>
      </c>
      <c r="BJ34" s="123"/>
      <c r="BK34" s="108"/>
      <c r="BM34" s="128">
        <f t="shared" si="2"/>
        <v>1003.2044900000001</v>
      </c>
      <c r="BN34" s="129">
        <f t="shared" si="3"/>
        <v>0</v>
      </c>
      <c r="CB34" s="75">
        <f t="shared" si="4"/>
        <v>1045.7065357740298</v>
      </c>
      <c r="CJ34" s="70">
        <f t="shared" si="5"/>
        <v>0</v>
      </c>
      <c r="CL34" s="166"/>
      <c r="CM34" s="68"/>
      <c r="CN34" s="35">
        <f t="shared" ref="CN34" si="49">CN35+CN41</f>
        <v>0</v>
      </c>
      <c r="CQ34" s="177">
        <f t="shared" si="17"/>
        <v>703.25859000000003</v>
      </c>
      <c r="CR34" s="177">
        <f t="shared" si="18"/>
        <v>53.678590000000099</v>
      </c>
    </row>
    <row r="35" spans="1:96" s="8" customFormat="1" ht="30.75" customHeight="1" x14ac:dyDescent="0.3">
      <c r="A35" s="44" t="s">
        <v>525</v>
      </c>
      <c r="B35" s="51" t="s">
        <v>58</v>
      </c>
      <c r="C35" s="158" t="s">
        <v>585</v>
      </c>
      <c r="D35" s="28" t="s">
        <v>129</v>
      </c>
      <c r="E35" s="21" t="s">
        <v>487</v>
      </c>
      <c r="F35" s="21">
        <f>IF(K35&gt;0,2018,IF(AC35&gt;0,2019,IF(AE35&gt;0,2020,IF(AG35&gt;0,2021,IF(AI35&gt;0,2022,IF(AK35&gt;0,2023,IF(AM35&gt;0,2024,"нд")))))))</f>
        <v>2020</v>
      </c>
      <c r="G35" s="46">
        <f>IF(AND(L35-(K35+AB35+AD35+AF35+AH35+AJ35+AL35)&lt;0.1,L35-(K35+AB35+AD35+AF35+AH35+AJ35+AL35)&gt;0.00001),"Ошибка в -",IF((K35+AB35+AD35+AF35+AH35+AJ35+AL35)&gt;L35,"Ошибка в +",IF(L35&gt;(K35+AB35+AD35+AF35+AH35+AJ35+AL35),2025,IF(AL35&gt;0,2024,IF(AJ35&gt;0,2023,IF(AH35&gt;0,2022,IF(AF35&gt;0,2021,IF(AD35&gt;0,2020,IF(AB35&gt;0,2019,IF(K35&gt;0,2018,"нд"))))))))))</f>
        <v>2025</v>
      </c>
      <c r="H35" s="46">
        <f>IF(AND((Q35-(K35+AC35+AE35+AG35+AI35+AK35+AM35))&lt;0.1,Q35-(K35+AC35+AE35+AG35+AI35+AK35+AM35)&gt;0.0001),"Ошибка в -",IF((K35+AC35+AE35+AG35+AI35+AK35+AM35)&gt;Q35,"Ошибка в +",IF(Q35&gt;(K35+AC35+AE35+AG35+AI35+AK35+AM35),2025,IF(AM35&gt;0,2024,IF(AK35&gt;0,2023,IF(AI35&gt;0,2022,IF(AG35&gt;0,2021,IF(AE35&gt;0,2020,IF(AC35&gt;0,2019,IF(K35&gt;0,2018,"нд"))))))))))</f>
        <v>2021</v>
      </c>
      <c r="I35" s="22" t="s">
        <v>131</v>
      </c>
      <c r="J35" s="20">
        <f>J36+J38+J39</f>
        <v>703.25859000000003</v>
      </c>
      <c r="K35" s="20">
        <f>K36+K38+K39</f>
        <v>0</v>
      </c>
      <c r="L35" s="20">
        <f>L36+L38+L39</f>
        <v>732.18000000000006</v>
      </c>
      <c r="M35" s="20">
        <f t="shared" ref="M35:AO35" si="50">M36+M38+M39</f>
        <v>51.252600000000001</v>
      </c>
      <c r="N35" s="20">
        <f t="shared" si="50"/>
        <v>629.6748</v>
      </c>
      <c r="O35" s="20">
        <f t="shared" si="50"/>
        <v>0</v>
      </c>
      <c r="P35" s="20">
        <f t="shared" si="50"/>
        <v>51.252600000000001</v>
      </c>
      <c r="Q35" s="20">
        <f t="shared" si="50"/>
        <v>703.25859000000003</v>
      </c>
      <c r="R35" s="20">
        <f t="shared" si="50"/>
        <v>49.228101300000006</v>
      </c>
      <c r="S35" s="20">
        <f t="shared" si="50"/>
        <v>604.80238740000004</v>
      </c>
      <c r="T35" s="20">
        <f t="shared" si="50"/>
        <v>0</v>
      </c>
      <c r="U35" s="20">
        <f t="shared" si="50"/>
        <v>49.228101300000006</v>
      </c>
      <c r="V35" s="20">
        <f t="shared" si="50"/>
        <v>0</v>
      </c>
      <c r="W35" s="20">
        <f t="shared" si="50"/>
        <v>732.18000000000006</v>
      </c>
      <c r="X35" s="20">
        <f t="shared" si="50"/>
        <v>0</v>
      </c>
      <c r="Y35" s="20">
        <f t="shared" si="50"/>
        <v>106.90000000000009</v>
      </c>
      <c r="Z35" s="20">
        <f t="shared" si="50"/>
        <v>0</v>
      </c>
      <c r="AA35" s="20">
        <f t="shared" si="50"/>
        <v>0</v>
      </c>
      <c r="AB35" s="20">
        <f t="shared" si="50"/>
        <v>0</v>
      </c>
      <c r="AC35" s="20">
        <f t="shared" si="50"/>
        <v>0</v>
      </c>
      <c r="AD35" s="20">
        <v>0</v>
      </c>
      <c r="AE35" s="20">
        <f t="shared" si="50"/>
        <v>106.89999999999999</v>
      </c>
      <c r="AF35" s="20">
        <f t="shared" si="50"/>
        <v>625.28</v>
      </c>
      <c r="AG35" s="20">
        <f t="shared" si="50"/>
        <v>596.35859000000005</v>
      </c>
      <c r="AH35" s="20">
        <f t="shared" si="50"/>
        <v>0</v>
      </c>
      <c r="AI35" s="20">
        <f t="shared" si="50"/>
        <v>0</v>
      </c>
      <c r="AJ35" s="20">
        <f t="shared" si="50"/>
        <v>0</v>
      </c>
      <c r="AK35" s="20">
        <f t="shared" si="50"/>
        <v>0</v>
      </c>
      <c r="AL35" s="20">
        <f t="shared" si="50"/>
        <v>0</v>
      </c>
      <c r="AM35" s="20">
        <f t="shared" si="50"/>
        <v>0</v>
      </c>
      <c r="AN35" s="20">
        <f t="shared" si="50"/>
        <v>649.57999999999993</v>
      </c>
      <c r="AO35" s="20">
        <f t="shared" si="50"/>
        <v>703.25859000000003</v>
      </c>
      <c r="AP35" s="161" t="s">
        <v>131</v>
      </c>
      <c r="AQ35" s="86"/>
      <c r="AR35" s="85">
        <f t="shared" si="8"/>
        <v>106.90000000000009</v>
      </c>
      <c r="AS35" s="85">
        <f t="shared" si="9"/>
        <v>0</v>
      </c>
      <c r="AT35" s="22">
        <f t="shared" si="39"/>
        <v>-28.921410000000037</v>
      </c>
      <c r="AV35" s="105">
        <f t="shared" si="40"/>
        <v>0</v>
      </c>
      <c r="AX35" s="31">
        <f>J35-Q35</f>
        <v>0</v>
      </c>
      <c r="AY35" s="166"/>
      <c r="AZ35" s="118">
        <v>596.35859000000005</v>
      </c>
      <c r="BA35" s="118">
        <v>0</v>
      </c>
      <c r="BB35" s="118">
        <v>0</v>
      </c>
      <c r="BC35" s="118">
        <v>0</v>
      </c>
      <c r="BE35" s="118">
        <f t="shared" si="11"/>
        <v>0</v>
      </c>
      <c r="BF35" s="118">
        <f t="shared" si="12"/>
        <v>0</v>
      </c>
      <c r="BG35" s="118">
        <f t="shared" si="13"/>
        <v>0</v>
      </c>
      <c r="BH35" s="118">
        <f t="shared" si="14"/>
        <v>0</v>
      </c>
      <c r="BI35" s="122">
        <f t="shared" si="15"/>
        <v>0</v>
      </c>
      <c r="BJ35" s="118">
        <f t="shared" ref="BJ35:BJ45" si="51">(AO35+AC35+K35)-Q35</f>
        <v>0</v>
      </c>
      <c r="BK35" s="44">
        <v>2021</v>
      </c>
      <c r="BL35" s="8" t="b">
        <f>EXACT(BK35,H35)</f>
        <v>1</v>
      </c>
      <c r="BM35" s="128">
        <f t="shared" si="2"/>
        <v>703.25859000000003</v>
      </c>
      <c r="BN35" s="129">
        <f t="shared" si="3"/>
        <v>0</v>
      </c>
      <c r="BR35" s="73">
        <f t="shared" ref="BR35:BR45" si="52">K35/$BR$15</f>
        <v>0</v>
      </c>
      <c r="BS35" s="73">
        <f t="shared" ref="BS35:BS45" si="53">AC35/$BS$15</f>
        <v>0</v>
      </c>
      <c r="BT35" s="73">
        <f t="shared" ref="BT35:BT45" si="54">AE35/$BT$15</f>
        <v>97.559891439690304</v>
      </c>
      <c r="BU35" s="73">
        <f t="shared" ref="BU35:BU45" si="55">AG35/$BU$15</f>
        <v>522.12707428276235</v>
      </c>
      <c r="BV35" s="73">
        <f t="shared" ref="BV35:BV45" si="56">AI35/$BV$15</f>
        <v>0</v>
      </c>
      <c r="BW35" s="73">
        <f t="shared" ref="BW35:BW45" si="57">AK35/$BW$15</f>
        <v>0</v>
      </c>
      <c r="BX35" s="73">
        <f t="shared" ref="BX35:BX45" si="58">AM35/$BX$15</f>
        <v>0</v>
      </c>
      <c r="BY35" s="73">
        <f t="shared" ref="BY35:BY45" si="59">(Q35-K35-AC35-AE35-AG35-AI35-AK35-AM35)/$BY$15</f>
        <v>0</v>
      </c>
      <c r="BZ35" s="74">
        <f t="shared" ref="BZ35:BZ45" si="60">SUM(BR35:BY35)*1.2</f>
        <v>743.62435886694323</v>
      </c>
      <c r="CB35" s="75">
        <f t="shared" si="4"/>
        <v>743.62435886694323</v>
      </c>
      <c r="CJ35" s="70">
        <f t="shared" si="5"/>
        <v>-7.1054273576010019E-14</v>
      </c>
      <c r="CK35" s="166"/>
      <c r="CL35" s="166"/>
      <c r="CM35" s="68"/>
      <c r="CN35" s="20"/>
      <c r="CQ35" s="177">
        <f t="shared" si="17"/>
        <v>703.25859000000003</v>
      </c>
      <c r="CR35" s="177">
        <f t="shared" si="18"/>
        <v>53.678590000000099</v>
      </c>
    </row>
    <row r="36" spans="1:96" s="8" customFormat="1" ht="81.75" customHeight="1" x14ac:dyDescent="0.3">
      <c r="A36" s="44"/>
      <c r="B36" s="51" t="s">
        <v>58</v>
      </c>
      <c r="C36" s="77" t="s">
        <v>430</v>
      </c>
      <c r="D36" s="28" t="s">
        <v>602</v>
      </c>
      <c r="E36" s="20"/>
      <c r="F36" s="21"/>
      <c r="G36" s="21"/>
      <c r="H36" s="21"/>
      <c r="I36" s="22" t="s">
        <v>131</v>
      </c>
      <c r="J36" s="20">
        <f>J37</f>
        <v>406.53489000000002</v>
      </c>
      <c r="K36" s="20">
        <f>K37</f>
        <v>0</v>
      </c>
      <c r="L36" s="20">
        <f>L37</f>
        <v>402.08</v>
      </c>
      <c r="M36" s="20">
        <f t="shared" ref="M36:AO36" si="61">M37</f>
        <v>28.145600000000002</v>
      </c>
      <c r="N36" s="20">
        <f t="shared" si="61"/>
        <v>345.78879999999998</v>
      </c>
      <c r="O36" s="20">
        <f t="shared" si="61"/>
        <v>0</v>
      </c>
      <c r="P36" s="20">
        <f t="shared" si="61"/>
        <v>28.145600000000002</v>
      </c>
      <c r="Q36" s="20">
        <f t="shared" si="61"/>
        <v>406.53489000000002</v>
      </c>
      <c r="R36" s="20">
        <f t="shared" si="61"/>
        <v>28.457442300000004</v>
      </c>
      <c r="S36" s="20">
        <f t="shared" si="61"/>
        <v>349.62000540000003</v>
      </c>
      <c r="T36" s="20">
        <f t="shared" si="61"/>
        <v>0</v>
      </c>
      <c r="U36" s="20">
        <f t="shared" si="61"/>
        <v>28.457442300000004</v>
      </c>
      <c r="V36" s="20">
        <f t="shared" si="61"/>
        <v>0</v>
      </c>
      <c r="W36" s="20">
        <f t="shared" si="61"/>
        <v>402.08</v>
      </c>
      <c r="X36" s="20">
        <f t="shared" si="61"/>
        <v>0</v>
      </c>
      <c r="Y36" s="20">
        <f t="shared" si="61"/>
        <v>24.300000000000011</v>
      </c>
      <c r="Z36" s="20">
        <f t="shared" si="61"/>
        <v>0</v>
      </c>
      <c r="AA36" s="20">
        <f t="shared" si="61"/>
        <v>0</v>
      </c>
      <c r="AB36" s="20">
        <f t="shared" si="61"/>
        <v>0</v>
      </c>
      <c r="AC36" s="20">
        <f t="shared" si="61"/>
        <v>0</v>
      </c>
      <c r="AD36" s="20">
        <f t="shared" si="61"/>
        <v>0</v>
      </c>
      <c r="AE36" s="20">
        <f t="shared" si="61"/>
        <v>24.3</v>
      </c>
      <c r="AF36" s="20">
        <f t="shared" si="61"/>
        <v>377.78</v>
      </c>
      <c r="AG36" s="20">
        <f t="shared" si="61"/>
        <v>382.23489000000001</v>
      </c>
      <c r="AH36" s="20">
        <f t="shared" si="61"/>
        <v>0</v>
      </c>
      <c r="AI36" s="20">
        <f t="shared" si="61"/>
        <v>0</v>
      </c>
      <c r="AJ36" s="20">
        <f t="shared" si="61"/>
        <v>0</v>
      </c>
      <c r="AK36" s="20">
        <f t="shared" si="61"/>
        <v>0</v>
      </c>
      <c r="AL36" s="20">
        <f t="shared" si="61"/>
        <v>0</v>
      </c>
      <c r="AM36" s="20">
        <f t="shared" si="61"/>
        <v>0</v>
      </c>
      <c r="AN36" s="20">
        <f t="shared" si="61"/>
        <v>402.08</v>
      </c>
      <c r="AO36" s="20">
        <f t="shared" si="61"/>
        <v>406.53489000000002</v>
      </c>
      <c r="AP36" s="100" t="s">
        <v>131</v>
      </c>
      <c r="AQ36" s="86"/>
      <c r="AR36" s="85">
        <f t="shared" si="8"/>
        <v>24.300000000000011</v>
      </c>
      <c r="AS36" s="85">
        <f t="shared" si="9"/>
        <v>0</v>
      </c>
      <c r="AT36" s="113">
        <f t="shared" si="39"/>
        <v>4.4548900000000344</v>
      </c>
      <c r="AV36" s="105">
        <f t="shared" si="40"/>
        <v>0</v>
      </c>
      <c r="AX36" s="31"/>
      <c r="AY36" s="166"/>
      <c r="AZ36" s="118">
        <v>382.23489000000001</v>
      </c>
      <c r="BA36" s="118"/>
      <c r="BB36" s="118"/>
      <c r="BC36" s="118"/>
      <c r="BE36" s="118">
        <f t="shared" si="11"/>
        <v>0</v>
      </c>
      <c r="BF36" s="118">
        <f t="shared" si="12"/>
        <v>0</v>
      </c>
      <c r="BG36" s="118">
        <f t="shared" si="13"/>
        <v>0</v>
      </c>
      <c r="BH36" s="118">
        <f t="shared" si="14"/>
        <v>0</v>
      </c>
      <c r="BI36" s="122">
        <f t="shared" si="15"/>
        <v>0</v>
      </c>
      <c r="BJ36" s="118">
        <f t="shared" si="51"/>
        <v>0</v>
      </c>
      <c r="BK36" s="44"/>
      <c r="BM36" s="128">
        <f t="shared" si="2"/>
        <v>406.53489000000002</v>
      </c>
      <c r="BN36" s="129">
        <f t="shared" si="3"/>
        <v>0</v>
      </c>
      <c r="BR36" s="73">
        <f t="shared" si="52"/>
        <v>0</v>
      </c>
      <c r="BS36" s="73">
        <f t="shared" si="53"/>
        <v>0</v>
      </c>
      <c r="BT36" s="73">
        <f t="shared" si="54"/>
        <v>22.176850907244852</v>
      </c>
      <c r="BU36" s="73">
        <f t="shared" si="55"/>
        <v>334.65634293033912</v>
      </c>
      <c r="BV36" s="73">
        <f t="shared" si="56"/>
        <v>0</v>
      </c>
      <c r="BW36" s="73">
        <f t="shared" si="57"/>
        <v>0</v>
      </c>
      <c r="BX36" s="73">
        <f t="shared" si="58"/>
        <v>0</v>
      </c>
      <c r="BY36" s="73">
        <f t="shared" si="59"/>
        <v>0</v>
      </c>
      <c r="BZ36" s="74">
        <f t="shared" si="60"/>
        <v>428.19983260510077</v>
      </c>
      <c r="CB36" s="75">
        <f t="shared" si="4"/>
        <v>428.19983260510077</v>
      </c>
      <c r="CJ36" s="70">
        <f t="shared" si="5"/>
        <v>-3.5527136788005009E-14</v>
      </c>
      <c r="CK36" s="166"/>
      <c r="CL36" s="166"/>
      <c r="CM36" s="68"/>
      <c r="CN36" s="20"/>
      <c r="CQ36" s="177">
        <f t="shared" si="17"/>
        <v>406.53489000000002</v>
      </c>
      <c r="CR36" s="177">
        <f t="shared" si="18"/>
        <v>4.4548900000000344</v>
      </c>
    </row>
    <row r="37" spans="1:96" s="8" customFormat="1" ht="122.25" customHeight="1" x14ac:dyDescent="0.3">
      <c r="A37" s="44"/>
      <c r="B37" s="134" t="s">
        <v>58</v>
      </c>
      <c r="C37" s="77" t="s">
        <v>589</v>
      </c>
      <c r="D37" s="28" t="s">
        <v>509</v>
      </c>
      <c r="E37" s="21" t="s">
        <v>487</v>
      </c>
      <c r="F37" s="21">
        <f>IF(K37&gt;0,2018,IF(AC37&gt;0,2019,IF(AE37&gt;0,2020,IF(AG37&gt;0,2021,IF(AI37&gt;0,2022,IF(AK37&gt;0,2023,IF(AM37&gt;0,2024,"нд")))))))</f>
        <v>2020</v>
      </c>
      <c r="G37" s="46">
        <f>IF(AND(L37-(K37+AB37+AD37+AF37+AH37+AJ37+AL37)&lt;0.1,L37-(K37+AB37+AD37+AF37+AH37+AJ37+AL37)&gt;0.00001),"Ошибка в -",IF((K37+AB37+AD37+AF37+AH37+AJ37+AL37)&gt;L37,"Ошибка в +",IF(L37&gt;(K37+AB37+AD37+AF37+AH37+AJ37+AL37),2025,IF(AL37&gt;0,2024,IF(AJ37&gt;0,2023,IF(AH37&gt;0,2022,IF(AF37&gt;0,2021,IF(AD37&gt;0,2020,IF(AB37&gt;0,2019,IF(K37&gt;0,2018,"нд"))))))))))</f>
        <v>2025</v>
      </c>
      <c r="H37" s="46">
        <f>IF(AND((Q37-(K37+AC37+AE37+AG37+AI37+AK37+AM37))&lt;0.1,Q37-(K37+AC37+AE37+AG37+AI37+AK37+AM37)&gt;0.0001),"Ошибка в -",IF((K37+AC37+AE37+AG37+AI37+AK37+AM37)&gt;Q37,"Ошибка в +",IF(Q37&gt;(K37+AC37+AE37+AG37+AI37+AK37+AM37),2025,IF(AM37&gt;0,2024,IF(AK37&gt;0,2023,IF(AI37&gt;0,2022,IF(AG37&gt;0,2021,IF(AE37&gt;0,2020,IF(AC37&gt;0,2019,IF(K37&gt;0,2018,"нд"))))))))))</f>
        <v>2021</v>
      </c>
      <c r="I37" s="22" t="s">
        <v>131</v>
      </c>
      <c r="J37" s="20">
        <f>Q37</f>
        <v>406.53489000000002</v>
      </c>
      <c r="K37" s="20">
        <v>0</v>
      </c>
      <c r="L37" s="20">
        <f>M37+N37+O37+P37</f>
        <v>402.08</v>
      </c>
      <c r="M37" s="20">
        <v>28.145600000000002</v>
      </c>
      <c r="N37" s="20">
        <v>345.78879999999998</v>
      </c>
      <c r="O37" s="20">
        <v>0</v>
      </c>
      <c r="P37" s="20">
        <v>28.145600000000002</v>
      </c>
      <c r="Q37" s="20">
        <v>406.53489000000002</v>
      </c>
      <c r="R37" s="20">
        <f>0.07*Q37</f>
        <v>28.457442300000004</v>
      </c>
      <c r="S37" s="20">
        <f>0.86*Q37</f>
        <v>349.62000540000003</v>
      </c>
      <c r="T37" s="20">
        <f>0*Q37</f>
        <v>0</v>
      </c>
      <c r="U37" s="20">
        <f>0.07*Q37</f>
        <v>28.457442300000004</v>
      </c>
      <c r="V37" s="20">
        <v>0</v>
      </c>
      <c r="W37" s="20">
        <f t="shared" ref="W37:W38" si="62">L37-K37</f>
        <v>402.08</v>
      </c>
      <c r="X37" s="20"/>
      <c r="Y37" s="20">
        <f>W37-(AB37+AD37+AF37)</f>
        <v>24.300000000000011</v>
      </c>
      <c r="Z37" s="20"/>
      <c r="AA37" s="20">
        <f t="shared" ref="AA37:AA38" si="63">Q37-(K37+AC37+AE37+AG37)</f>
        <v>0</v>
      </c>
      <c r="AB37" s="20">
        <v>0</v>
      </c>
      <c r="AC37" s="20">
        <v>0</v>
      </c>
      <c r="AD37" s="175">
        <v>0</v>
      </c>
      <c r="AE37" s="22">
        <v>24.3</v>
      </c>
      <c r="AF37" s="20">
        <v>377.78</v>
      </c>
      <c r="AG37" s="20">
        <v>382.23489000000001</v>
      </c>
      <c r="AH37" s="20">
        <v>0</v>
      </c>
      <c r="AI37" s="20"/>
      <c r="AJ37" s="20">
        <v>0</v>
      </c>
      <c r="AK37" s="20"/>
      <c r="AL37" s="20">
        <v>0</v>
      </c>
      <c r="AM37" s="20"/>
      <c r="AN37" s="20">
        <f>SUM(AE37+AF37+AH37+AJ37+AL37)</f>
        <v>402.08</v>
      </c>
      <c r="AO37" s="20">
        <f t="shared" ref="AO37" si="64">SUM(AE37+AG37+AI37+AK37+AM37)</f>
        <v>406.53489000000002</v>
      </c>
      <c r="AP37" s="94" t="s">
        <v>505</v>
      </c>
      <c r="AQ37" s="86"/>
      <c r="AR37" s="85">
        <f t="shared" si="8"/>
        <v>24.300000000000011</v>
      </c>
      <c r="AS37" s="85">
        <f t="shared" si="9"/>
        <v>0</v>
      </c>
      <c r="AT37" s="113">
        <f t="shared" si="39"/>
        <v>4.4548900000000344</v>
      </c>
      <c r="AV37" s="105">
        <f t="shared" si="40"/>
        <v>0</v>
      </c>
      <c r="AX37" s="31"/>
      <c r="AY37" s="166"/>
      <c r="AZ37" s="118">
        <v>382.23489000000001</v>
      </c>
      <c r="BA37" s="118"/>
      <c r="BB37" s="118"/>
      <c r="BC37" s="118"/>
      <c r="BE37" s="118">
        <f t="shared" si="11"/>
        <v>0</v>
      </c>
      <c r="BF37" s="118">
        <f t="shared" si="12"/>
        <v>0</v>
      </c>
      <c r="BG37" s="118">
        <f t="shared" si="13"/>
        <v>0</v>
      </c>
      <c r="BH37" s="118">
        <f t="shared" si="14"/>
        <v>0</v>
      </c>
      <c r="BI37" s="122">
        <f t="shared" si="15"/>
        <v>0</v>
      </c>
      <c r="BJ37" s="118">
        <f t="shared" si="51"/>
        <v>0</v>
      </c>
      <c r="BK37" s="44"/>
      <c r="BM37" s="128">
        <f t="shared" si="2"/>
        <v>406.53489000000002</v>
      </c>
      <c r="BN37" s="129">
        <f t="shared" si="3"/>
        <v>0</v>
      </c>
      <c r="BR37" s="73">
        <f t="shared" si="52"/>
        <v>0</v>
      </c>
      <c r="BS37" s="73">
        <f t="shared" si="53"/>
        <v>0</v>
      </c>
      <c r="BT37" s="73">
        <f t="shared" si="54"/>
        <v>22.176850907244852</v>
      </c>
      <c r="BU37" s="73">
        <f t="shared" si="55"/>
        <v>334.65634293033912</v>
      </c>
      <c r="BV37" s="73">
        <f t="shared" si="56"/>
        <v>0</v>
      </c>
      <c r="BW37" s="73">
        <f t="shared" si="57"/>
        <v>0</v>
      </c>
      <c r="BX37" s="73">
        <f t="shared" si="58"/>
        <v>0</v>
      </c>
      <c r="BY37" s="73">
        <f t="shared" si="59"/>
        <v>0</v>
      </c>
      <c r="BZ37" s="74">
        <f t="shared" si="60"/>
        <v>428.19983260510077</v>
      </c>
      <c r="CB37" s="75">
        <f t="shared" si="4"/>
        <v>428.19983260510077</v>
      </c>
      <c r="CJ37" s="70">
        <f t="shared" si="5"/>
        <v>-3.5527136788005009E-14</v>
      </c>
      <c r="CK37" s="166"/>
      <c r="CL37" s="166"/>
      <c r="CM37" s="68"/>
      <c r="CN37" s="20"/>
      <c r="CQ37" s="177">
        <f t="shared" si="17"/>
        <v>406.53489000000002</v>
      </c>
      <c r="CR37" s="177">
        <f t="shared" si="18"/>
        <v>4.4548900000000344</v>
      </c>
    </row>
    <row r="38" spans="1:96" s="8" customFormat="1" ht="59.25" customHeight="1" x14ac:dyDescent="0.3">
      <c r="A38" s="44"/>
      <c r="B38" s="51" t="s">
        <v>58</v>
      </c>
      <c r="C38" s="77" t="s">
        <v>431</v>
      </c>
      <c r="D38" s="28" t="s">
        <v>602</v>
      </c>
      <c r="E38" s="20"/>
      <c r="F38" s="21"/>
      <c r="G38" s="21"/>
      <c r="H38" s="21"/>
      <c r="I38" s="22" t="s">
        <v>131</v>
      </c>
      <c r="J38" s="20">
        <f>Q38</f>
        <v>0</v>
      </c>
      <c r="K38" s="20">
        <v>0</v>
      </c>
      <c r="L38" s="20">
        <f>M38+N38+O38+P38</f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f>0.07*Q38</f>
        <v>0</v>
      </c>
      <c r="S38" s="20">
        <f>0.86*Q38</f>
        <v>0</v>
      </c>
      <c r="T38" s="20">
        <f>0*Q38</f>
        <v>0</v>
      </c>
      <c r="U38" s="20">
        <f>0.07*Q38</f>
        <v>0</v>
      </c>
      <c r="V38" s="20">
        <v>0</v>
      </c>
      <c r="W38" s="20">
        <f t="shared" si="62"/>
        <v>0</v>
      </c>
      <c r="X38" s="20"/>
      <c r="Y38" s="20">
        <f t="shared" ref="Y38" si="65">W38-(AB38+AD38+AF38)</f>
        <v>0</v>
      </c>
      <c r="Z38" s="20"/>
      <c r="AA38" s="20">
        <f t="shared" si="63"/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/>
      <c r="AJ38" s="20">
        <v>0</v>
      </c>
      <c r="AK38" s="20"/>
      <c r="AL38" s="20">
        <v>0</v>
      </c>
      <c r="AM38" s="20"/>
      <c r="AN38" s="20">
        <f t="shared" ref="AN38:AO40" si="66">SUM(AD38+AF38+AH38+AJ38+AL38)</f>
        <v>0</v>
      </c>
      <c r="AO38" s="20">
        <f t="shared" si="66"/>
        <v>0</v>
      </c>
      <c r="AP38" s="100" t="s">
        <v>131</v>
      </c>
      <c r="AQ38" s="86"/>
      <c r="AR38" s="85">
        <f t="shared" si="8"/>
        <v>0</v>
      </c>
      <c r="AS38" s="85">
        <f t="shared" si="9"/>
        <v>0</v>
      </c>
      <c r="AT38" s="113">
        <f t="shared" si="39"/>
        <v>0</v>
      </c>
      <c r="AV38" s="105">
        <f t="shared" si="40"/>
        <v>0</v>
      </c>
      <c r="AX38" s="31"/>
      <c r="AY38" s="166"/>
      <c r="AZ38" s="118">
        <v>0</v>
      </c>
      <c r="BA38" s="118"/>
      <c r="BB38" s="118"/>
      <c r="BC38" s="118"/>
      <c r="BE38" s="118">
        <f t="shared" si="11"/>
        <v>0</v>
      </c>
      <c r="BF38" s="118">
        <f t="shared" si="12"/>
        <v>0</v>
      </c>
      <c r="BG38" s="118">
        <f t="shared" si="13"/>
        <v>0</v>
      </c>
      <c r="BH38" s="118">
        <f t="shared" si="14"/>
        <v>0</v>
      </c>
      <c r="BI38" s="122">
        <f t="shared" si="15"/>
        <v>0</v>
      </c>
      <c r="BJ38" s="118">
        <f t="shared" si="51"/>
        <v>0</v>
      </c>
      <c r="BK38" s="44"/>
      <c r="BM38" s="128">
        <f t="shared" si="2"/>
        <v>0</v>
      </c>
      <c r="BN38" s="129">
        <f t="shared" si="3"/>
        <v>0</v>
      </c>
      <c r="BR38" s="73">
        <f t="shared" si="52"/>
        <v>0</v>
      </c>
      <c r="BS38" s="73">
        <f t="shared" si="53"/>
        <v>0</v>
      </c>
      <c r="BT38" s="73">
        <f t="shared" si="54"/>
        <v>0</v>
      </c>
      <c r="BU38" s="73">
        <f t="shared" si="55"/>
        <v>0</v>
      </c>
      <c r="BV38" s="73">
        <f t="shared" si="56"/>
        <v>0</v>
      </c>
      <c r="BW38" s="73">
        <f t="shared" si="57"/>
        <v>0</v>
      </c>
      <c r="BX38" s="73">
        <f t="shared" si="58"/>
        <v>0</v>
      </c>
      <c r="BY38" s="73">
        <f t="shared" si="59"/>
        <v>0</v>
      </c>
      <c r="BZ38" s="74">
        <f t="shared" si="60"/>
        <v>0</v>
      </c>
      <c r="CB38" s="75">
        <f t="shared" si="4"/>
        <v>0</v>
      </c>
      <c r="CJ38" s="70">
        <f t="shared" si="5"/>
        <v>0</v>
      </c>
      <c r="CK38" s="166"/>
      <c r="CL38" s="166"/>
      <c r="CM38" s="68"/>
      <c r="CN38" s="20"/>
      <c r="CQ38" s="177">
        <f t="shared" si="17"/>
        <v>0</v>
      </c>
      <c r="CR38" s="177">
        <f t="shared" si="18"/>
        <v>0</v>
      </c>
    </row>
    <row r="39" spans="1:96" s="8" customFormat="1" ht="56.25" x14ac:dyDescent="0.3">
      <c r="A39" s="44"/>
      <c r="B39" s="51" t="s">
        <v>58</v>
      </c>
      <c r="C39" s="77" t="s">
        <v>591</v>
      </c>
      <c r="D39" s="28" t="s">
        <v>602</v>
      </c>
      <c r="E39" s="20"/>
      <c r="F39" s="21"/>
      <c r="G39" s="21"/>
      <c r="H39" s="21"/>
      <c r="I39" s="22" t="s">
        <v>131</v>
      </c>
      <c r="J39" s="20">
        <f>J40</f>
        <v>296.72370000000001</v>
      </c>
      <c r="K39" s="20">
        <f>K40</f>
        <v>0</v>
      </c>
      <c r="L39" s="20">
        <f>L40</f>
        <v>330.10000000000008</v>
      </c>
      <c r="M39" s="20">
        <f t="shared" ref="M39:AO39" si="67">M40</f>
        <v>23.107000000000003</v>
      </c>
      <c r="N39" s="20">
        <f t="shared" si="67"/>
        <v>283.88600000000002</v>
      </c>
      <c r="O39" s="20">
        <f t="shared" si="67"/>
        <v>0</v>
      </c>
      <c r="P39" s="20">
        <f t="shared" si="67"/>
        <v>23.107000000000003</v>
      </c>
      <c r="Q39" s="20">
        <f t="shared" si="67"/>
        <v>296.72370000000001</v>
      </c>
      <c r="R39" s="20">
        <f t="shared" si="67"/>
        <v>20.770659000000002</v>
      </c>
      <c r="S39" s="20">
        <f t="shared" si="67"/>
        <v>255.18238199999999</v>
      </c>
      <c r="T39" s="20">
        <f t="shared" si="67"/>
        <v>0</v>
      </c>
      <c r="U39" s="20">
        <f t="shared" si="67"/>
        <v>20.770659000000002</v>
      </c>
      <c r="V39" s="20">
        <f t="shared" si="67"/>
        <v>0</v>
      </c>
      <c r="W39" s="20">
        <f t="shared" si="67"/>
        <v>330.10000000000008</v>
      </c>
      <c r="X39" s="20">
        <f t="shared" si="67"/>
        <v>0</v>
      </c>
      <c r="Y39" s="20">
        <f t="shared" si="67"/>
        <v>82.60000000000008</v>
      </c>
      <c r="Z39" s="20">
        <f t="shared" si="67"/>
        <v>0</v>
      </c>
      <c r="AA39" s="20">
        <f t="shared" si="67"/>
        <v>0</v>
      </c>
      <c r="AB39" s="20">
        <f t="shared" si="67"/>
        <v>0</v>
      </c>
      <c r="AC39" s="20">
        <f t="shared" si="67"/>
        <v>0</v>
      </c>
      <c r="AD39" s="20">
        <f t="shared" si="67"/>
        <v>0</v>
      </c>
      <c r="AE39" s="22">
        <f t="shared" si="67"/>
        <v>82.6</v>
      </c>
      <c r="AF39" s="20">
        <f t="shared" si="67"/>
        <v>247.5</v>
      </c>
      <c r="AG39" s="20">
        <f t="shared" si="67"/>
        <v>214.12369999999999</v>
      </c>
      <c r="AH39" s="20">
        <f t="shared" si="67"/>
        <v>0</v>
      </c>
      <c r="AI39" s="20">
        <f t="shared" si="67"/>
        <v>0</v>
      </c>
      <c r="AJ39" s="20">
        <f t="shared" si="67"/>
        <v>0</v>
      </c>
      <c r="AK39" s="20">
        <f t="shared" si="67"/>
        <v>0</v>
      </c>
      <c r="AL39" s="20">
        <f t="shared" si="67"/>
        <v>0</v>
      </c>
      <c r="AM39" s="20">
        <f t="shared" si="67"/>
        <v>0</v>
      </c>
      <c r="AN39" s="20">
        <f t="shared" si="67"/>
        <v>247.5</v>
      </c>
      <c r="AO39" s="20">
        <f t="shared" si="67"/>
        <v>296.72370000000001</v>
      </c>
      <c r="AP39" s="100" t="s">
        <v>131</v>
      </c>
      <c r="AQ39" s="86"/>
      <c r="AR39" s="85">
        <f t="shared" si="8"/>
        <v>82.60000000000008</v>
      </c>
      <c r="AS39" s="85">
        <f t="shared" si="9"/>
        <v>0</v>
      </c>
      <c r="AT39" s="113">
        <f t="shared" si="39"/>
        <v>-33.376300000000072</v>
      </c>
      <c r="AV39" s="105">
        <f t="shared" si="40"/>
        <v>2.8421709430404007E-14</v>
      </c>
      <c r="AX39" s="31"/>
      <c r="AY39" s="166"/>
      <c r="AZ39" s="118">
        <v>214.12369999999999</v>
      </c>
      <c r="BA39" s="118"/>
      <c r="BB39" s="118"/>
      <c r="BC39" s="118"/>
      <c r="BE39" s="118">
        <f t="shared" si="11"/>
        <v>0</v>
      </c>
      <c r="BF39" s="118">
        <f t="shared" si="12"/>
        <v>0</v>
      </c>
      <c r="BG39" s="118">
        <f t="shared" si="13"/>
        <v>0</v>
      </c>
      <c r="BH39" s="118">
        <f t="shared" si="14"/>
        <v>0</v>
      </c>
      <c r="BI39" s="122">
        <f t="shared" si="15"/>
        <v>0</v>
      </c>
      <c r="BJ39" s="118">
        <f t="shared" si="51"/>
        <v>0</v>
      </c>
      <c r="BK39" s="44"/>
      <c r="BM39" s="128">
        <f t="shared" si="2"/>
        <v>296.72370000000001</v>
      </c>
      <c r="BN39" s="129">
        <f t="shared" si="3"/>
        <v>0</v>
      </c>
      <c r="BR39" s="73">
        <f t="shared" si="52"/>
        <v>0</v>
      </c>
      <c r="BS39" s="73">
        <f t="shared" si="53"/>
        <v>0</v>
      </c>
      <c r="BT39" s="73">
        <f t="shared" si="54"/>
        <v>75.383040532445463</v>
      </c>
      <c r="BU39" s="73">
        <f t="shared" si="55"/>
        <v>187.47073135242323</v>
      </c>
      <c r="BV39" s="73">
        <f t="shared" si="56"/>
        <v>0</v>
      </c>
      <c r="BW39" s="73">
        <f t="shared" si="57"/>
        <v>0</v>
      </c>
      <c r="BX39" s="73">
        <f t="shared" si="58"/>
        <v>0</v>
      </c>
      <c r="BY39" s="73">
        <f t="shared" si="59"/>
        <v>2.0952736281680505E-14</v>
      </c>
      <c r="BZ39" s="74">
        <f t="shared" si="60"/>
        <v>315.42452626184246</v>
      </c>
      <c r="CB39" s="75">
        <f t="shared" si="4"/>
        <v>315.42452626184246</v>
      </c>
      <c r="CJ39" s="70">
        <f t="shared" si="5"/>
        <v>0</v>
      </c>
      <c r="CK39" s="166"/>
      <c r="CL39" s="166"/>
      <c r="CM39" s="68"/>
      <c r="CN39" s="20"/>
      <c r="CQ39" s="177">
        <f t="shared" si="17"/>
        <v>296.72370000000001</v>
      </c>
      <c r="CR39" s="177">
        <f t="shared" si="18"/>
        <v>49.223700000000008</v>
      </c>
    </row>
    <row r="40" spans="1:96" s="8" customFormat="1" ht="56.25" x14ac:dyDescent="0.3">
      <c r="A40" s="44"/>
      <c r="B40" s="134" t="s">
        <v>58</v>
      </c>
      <c r="C40" s="77" t="s">
        <v>600</v>
      </c>
      <c r="D40" s="28" t="s">
        <v>597</v>
      </c>
      <c r="E40" s="21" t="s">
        <v>487</v>
      </c>
      <c r="F40" s="21">
        <f>IF(K40&gt;0,2018,IF(AC40&gt;0,2019,IF(AE40&gt;0,2020,IF(AG40&gt;0,2021,IF(AI40&gt;0,2022,IF(AK40&gt;0,2023,IF(AM40&gt;0,2024,"нд")))))))</f>
        <v>2020</v>
      </c>
      <c r="G40" s="46">
        <f>IF(AND(L40-(K40+AB40+AD40+AF40+AH40+AJ40+AL40)&lt;0.1,L40-(K40+AB40+AD40+AF40+AH40+AJ40+AL40)&gt;0.00001),"Ошибка в -",IF((K40+AB40+AD40+AF40+AH40+AJ40+AL40)&gt;L40,"Ошибка в +",IF(L40&gt;(K40+AB40+AD40+AF40+AH40+AJ40+AL40),2025,IF(AL40&gt;0,2024,IF(AJ40&gt;0,2023,IF(AH40&gt;0,2022,IF(AF40&gt;0,2021,IF(AD40&gt;0,2020,IF(AB40&gt;0,2019,IF(K40&gt;0,2018,"нд"))))))))))</f>
        <v>2025</v>
      </c>
      <c r="H40" s="46">
        <f>IF(AND((Q40-(K40+AC40+AE40+AG40+AI40+AK40+AM40))&lt;0.1,Q40-(K40+AC40+AE40+AG40+AI40+AK40+AM40)&gt;0.0001),"Ошибка в -",IF((K40+AC40+AE40+AG40+AI40+AK40+AM40)&gt;Q40,"Ошибка в +",IF(Q40&gt;(K40+AC40+AE40+AG40+AI40+AK40+AM40),2025,IF(AM40&gt;0,2024,IF(AK40&gt;0,2023,IF(AI40&gt;0,2022,IF(AG40&gt;0,2021,IF(AE40&gt;0,2020,IF(AC40&gt;0,2019,IF(K40&gt;0,2018,"нд"))))))))))</f>
        <v>2021</v>
      </c>
      <c r="I40" s="22" t="s">
        <v>131</v>
      </c>
      <c r="J40" s="20">
        <f>Q40</f>
        <v>296.72370000000001</v>
      </c>
      <c r="K40" s="20">
        <v>0</v>
      </c>
      <c r="L40" s="20">
        <f>M40+N40+O40+P40</f>
        <v>330.10000000000008</v>
      </c>
      <c r="M40" s="20">
        <v>23.107000000000003</v>
      </c>
      <c r="N40" s="20">
        <v>283.88600000000002</v>
      </c>
      <c r="O40" s="20">
        <v>0</v>
      </c>
      <c r="P40" s="20">
        <v>23.107000000000003</v>
      </c>
      <c r="Q40" s="20">
        <v>296.72370000000001</v>
      </c>
      <c r="R40" s="20">
        <f>0.07*Q40</f>
        <v>20.770659000000002</v>
      </c>
      <c r="S40" s="20">
        <f>0.86*Q40</f>
        <v>255.18238199999999</v>
      </c>
      <c r="T40" s="20">
        <f>0*Q40</f>
        <v>0</v>
      </c>
      <c r="U40" s="20">
        <f>0.07*Q40</f>
        <v>20.770659000000002</v>
      </c>
      <c r="V40" s="20">
        <v>0</v>
      </c>
      <c r="W40" s="20">
        <f>L40-K40</f>
        <v>330.10000000000008</v>
      </c>
      <c r="X40" s="20"/>
      <c r="Y40" s="20">
        <f>W40-(AB40+AD40+AF40)</f>
        <v>82.60000000000008</v>
      </c>
      <c r="Z40" s="20"/>
      <c r="AA40" s="20">
        <f t="shared" ref="AA40" si="68">Q40-(K40+AC40+AE40+AG40)</f>
        <v>0</v>
      </c>
      <c r="AB40" s="20">
        <v>0</v>
      </c>
      <c r="AC40" s="20">
        <v>0</v>
      </c>
      <c r="AD40" s="20">
        <v>0</v>
      </c>
      <c r="AE40" s="20">
        <v>82.6</v>
      </c>
      <c r="AF40" s="20">
        <v>247.5</v>
      </c>
      <c r="AG40" s="20">
        <v>214.12369999999999</v>
      </c>
      <c r="AH40" s="20">
        <v>0</v>
      </c>
      <c r="AI40" s="20"/>
      <c r="AJ40" s="20">
        <v>0</v>
      </c>
      <c r="AK40" s="20"/>
      <c r="AL40" s="20">
        <v>0</v>
      </c>
      <c r="AM40" s="20"/>
      <c r="AN40" s="28">
        <f t="shared" si="66"/>
        <v>247.5</v>
      </c>
      <c r="AO40" s="28">
        <f t="shared" si="66"/>
        <v>296.72370000000001</v>
      </c>
      <c r="AP40" s="94" t="s">
        <v>497</v>
      </c>
      <c r="AQ40" s="86"/>
      <c r="AR40" s="85">
        <f t="shared" si="8"/>
        <v>82.60000000000008</v>
      </c>
      <c r="AS40" s="85">
        <f t="shared" si="9"/>
        <v>0</v>
      </c>
      <c r="AT40" s="113">
        <f t="shared" si="39"/>
        <v>-33.376300000000072</v>
      </c>
      <c r="AV40" s="105">
        <f t="shared" si="40"/>
        <v>2.8421709430404007E-14</v>
      </c>
      <c r="AX40" s="31"/>
      <c r="AY40" s="166"/>
      <c r="AZ40" s="118">
        <v>214.12369999999999</v>
      </c>
      <c r="BA40" s="118"/>
      <c r="BB40" s="118"/>
      <c r="BC40" s="118"/>
      <c r="BE40" s="118">
        <f t="shared" si="11"/>
        <v>0</v>
      </c>
      <c r="BF40" s="118">
        <f t="shared" si="12"/>
        <v>0</v>
      </c>
      <c r="BG40" s="118">
        <f t="shared" si="13"/>
        <v>0</v>
      </c>
      <c r="BH40" s="118">
        <f t="shared" si="14"/>
        <v>0</v>
      </c>
      <c r="BI40" s="122">
        <f t="shared" si="15"/>
        <v>0</v>
      </c>
      <c r="BJ40" s="118">
        <f t="shared" si="51"/>
        <v>0</v>
      </c>
      <c r="BK40" s="44"/>
      <c r="BM40" s="128">
        <f t="shared" si="2"/>
        <v>296.72370000000001</v>
      </c>
      <c r="BN40" s="129">
        <f t="shared" si="3"/>
        <v>0</v>
      </c>
      <c r="BR40" s="73">
        <f t="shared" si="52"/>
        <v>0</v>
      </c>
      <c r="BS40" s="73">
        <f t="shared" si="53"/>
        <v>0</v>
      </c>
      <c r="BT40" s="73">
        <f t="shared" si="54"/>
        <v>75.383040532445463</v>
      </c>
      <c r="BU40" s="73">
        <f t="shared" si="55"/>
        <v>187.47073135242323</v>
      </c>
      <c r="BV40" s="73">
        <f t="shared" si="56"/>
        <v>0</v>
      </c>
      <c r="BW40" s="73">
        <f t="shared" si="57"/>
        <v>0</v>
      </c>
      <c r="BX40" s="73">
        <f t="shared" si="58"/>
        <v>0</v>
      </c>
      <c r="BY40" s="73">
        <f t="shared" si="59"/>
        <v>2.0952736281680505E-14</v>
      </c>
      <c r="BZ40" s="74">
        <f t="shared" si="60"/>
        <v>315.42452626184246</v>
      </c>
      <c r="CB40" s="75">
        <f t="shared" si="4"/>
        <v>315.42452626184246</v>
      </c>
      <c r="CJ40" s="70">
        <f t="shared" si="5"/>
        <v>0</v>
      </c>
      <c r="CK40" s="166"/>
      <c r="CL40" s="166"/>
      <c r="CM40" s="68"/>
      <c r="CN40" s="20"/>
      <c r="CQ40" s="177">
        <f t="shared" si="17"/>
        <v>296.72370000000001</v>
      </c>
      <c r="CR40" s="177">
        <f t="shared" si="18"/>
        <v>49.223700000000008</v>
      </c>
    </row>
    <row r="41" spans="1:96" s="8" customFormat="1" ht="45" customHeight="1" x14ac:dyDescent="0.3">
      <c r="A41" s="44" t="s">
        <v>525</v>
      </c>
      <c r="B41" s="51" t="s">
        <v>576</v>
      </c>
      <c r="C41" s="158" t="s">
        <v>577</v>
      </c>
      <c r="D41" s="28" t="s">
        <v>129</v>
      </c>
      <c r="E41" s="21"/>
      <c r="F41" s="21">
        <f>IF(K41&gt;0,2018,IF(AC41&gt;0,2019,IF(AE41&gt;0,2020,IF(AG41&gt;0,2021,IF(AI41&gt;0,2022,IF(AK41&gt;0,2023,IF(AM41&gt;0,2024,"нд")))))))</f>
        <v>2022</v>
      </c>
      <c r="G41" s="46" t="str">
        <f>IF(AND(L41-(K41+AB41+AD41+AF41+AH41+AJ41+AL41)&lt;0.1,L41-(K41+AB41+AD41+AF41+AH41+AJ41+AL41)&gt;0.00001),"Ошибка в -",IF((K41+AB41+AD41+AF41+AH41+AJ41+AL41)&gt;L41,"Ошибка в +",IF(L41&gt;(K41+AB41+AD41+AF41+AH41+AJ41+AL41),2025,IF(AL41&gt;0,2024,IF(AJ41&gt;0,2023,IF(AH41&gt;0,2022,IF(AF41&gt;0,2021,IF(AD41&gt;0,2020,IF(AB41&gt;0,2019,IF(K41&gt;0,2018,"нд"))))))))))</f>
        <v>нд</v>
      </c>
      <c r="H41" s="46">
        <f>IF(AND((Q41-(K41+AC41+AE41+AG41+AI41+AK41+AM41))&lt;0.1,Q41-(K41+AC41+AE41+AG41+AI41+AK41+AM41)&gt;0.0001),"Ошибка в -",IF((K41+AC41+AE41+AG41+AI41+AK41+AM41)&gt;Q41,"Ошибка в +",IF(Q41&gt;(K41+AC41+AE41+AG41+AI41+AK41+AM41),2025,IF(AM41&gt;0,2024,IF(AK41&gt;0,2023,IF(AI41&gt;0,2022,IF(AG41&gt;0,2021,IF(AE41&gt;0,2020,IF(AC41&gt;0,2019,IF(K41&gt;0,2018,"нд"))))))))))</f>
        <v>2022</v>
      </c>
      <c r="I41" s="22" t="s">
        <v>131</v>
      </c>
      <c r="J41" s="20">
        <f t="shared" ref="J41" si="69">SUM(J42:J45)</f>
        <v>0</v>
      </c>
      <c r="K41" s="20">
        <f>K42+K44+K45</f>
        <v>0</v>
      </c>
      <c r="L41" s="20">
        <f t="shared" ref="L41:AO41" si="70">L42+L44+L45</f>
        <v>0</v>
      </c>
      <c r="M41" s="20">
        <f t="shared" si="70"/>
        <v>0</v>
      </c>
      <c r="N41" s="20">
        <f t="shared" si="70"/>
        <v>0</v>
      </c>
      <c r="O41" s="20">
        <f t="shared" si="70"/>
        <v>0</v>
      </c>
      <c r="P41" s="20">
        <f t="shared" si="70"/>
        <v>0</v>
      </c>
      <c r="Q41" s="20">
        <f t="shared" si="70"/>
        <v>287.91000000000003</v>
      </c>
      <c r="R41" s="20">
        <f t="shared" si="70"/>
        <v>20.153700000000004</v>
      </c>
      <c r="S41" s="20">
        <f t="shared" si="70"/>
        <v>244.7235</v>
      </c>
      <c r="T41" s="20">
        <f t="shared" si="70"/>
        <v>8.6372999999999998</v>
      </c>
      <c r="U41" s="20">
        <f t="shared" si="70"/>
        <v>14.395500000000002</v>
      </c>
      <c r="V41" s="20">
        <f t="shared" si="70"/>
        <v>0</v>
      </c>
      <c r="W41" s="20">
        <f t="shared" si="70"/>
        <v>0</v>
      </c>
      <c r="X41" s="20">
        <f t="shared" si="70"/>
        <v>0</v>
      </c>
      <c r="Y41" s="20">
        <f t="shared" si="70"/>
        <v>0</v>
      </c>
      <c r="Z41" s="20">
        <f t="shared" si="70"/>
        <v>0</v>
      </c>
      <c r="AA41" s="20">
        <f t="shared" si="70"/>
        <v>287.91000000000003</v>
      </c>
      <c r="AB41" s="20">
        <f t="shared" si="70"/>
        <v>0</v>
      </c>
      <c r="AC41" s="20">
        <f t="shared" si="70"/>
        <v>0</v>
      </c>
      <c r="AD41" s="20">
        <f t="shared" si="70"/>
        <v>0</v>
      </c>
      <c r="AE41" s="20">
        <f t="shared" si="70"/>
        <v>0</v>
      </c>
      <c r="AF41" s="20">
        <f t="shared" si="70"/>
        <v>0</v>
      </c>
      <c r="AG41" s="20">
        <f t="shared" si="70"/>
        <v>0</v>
      </c>
      <c r="AH41" s="20">
        <f t="shared" si="70"/>
        <v>0</v>
      </c>
      <c r="AI41" s="20">
        <f t="shared" si="70"/>
        <v>287.91000000000003</v>
      </c>
      <c r="AJ41" s="20">
        <f t="shared" si="70"/>
        <v>0</v>
      </c>
      <c r="AK41" s="20">
        <f t="shared" si="70"/>
        <v>0</v>
      </c>
      <c r="AL41" s="20">
        <f t="shared" si="70"/>
        <v>0</v>
      </c>
      <c r="AM41" s="20">
        <f t="shared" si="70"/>
        <v>0</v>
      </c>
      <c r="AN41" s="20">
        <f t="shared" si="70"/>
        <v>0</v>
      </c>
      <c r="AO41" s="20">
        <f t="shared" si="70"/>
        <v>287.91000000000003</v>
      </c>
      <c r="AP41" s="94"/>
      <c r="AQ41" s="86"/>
      <c r="AR41" s="85">
        <f t="shared" si="8"/>
        <v>0</v>
      </c>
      <c r="AS41" s="85">
        <f t="shared" si="9"/>
        <v>0</v>
      </c>
      <c r="AT41" s="22">
        <f t="shared" si="39"/>
        <v>287.91000000000003</v>
      </c>
      <c r="AV41" s="105">
        <f t="shared" si="40"/>
        <v>0</v>
      </c>
      <c r="AX41" s="31">
        <f>J41-Q41</f>
        <v>-287.91000000000003</v>
      </c>
      <c r="AY41" s="166"/>
      <c r="AZ41" s="118">
        <v>0</v>
      </c>
      <c r="BA41" s="118">
        <v>282.41000000000003</v>
      </c>
      <c r="BB41" s="118">
        <v>0</v>
      </c>
      <c r="BC41" s="118">
        <v>0</v>
      </c>
      <c r="BE41" s="118">
        <f t="shared" si="11"/>
        <v>0</v>
      </c>
      <c r="BF41" s="118">
        <f t="shared" si="12"/>
        <v>5.5</v>
      </c>
      <c r="BG41" s="118">
        <f t="shared" si="13"/>
        <v>0</v>
      </c>
      <c r="BH41" s="118">
        <f t="shared" si="14"/>
        <v>0</v>
      </c>
      <c r="BI41" s="122">
        <f t="shared" si="15"/>
        <v>5.5</v>
      </c>
      <c r="BJ41" s="118">
        <f t="shared" si="51"/>
        <v>0</v>
      </c>
      <c r="BK41" s="44">
        <v>2022</v>
      </c>
      <c r="BL41" s="8" t="b">
        <f>EXACT(BK41,H41)</f>
        <v>1</v>
      </c>
      <c r="BM41" s="128">
        <f t="shared" si="2"/>
        <v>287.91000000000003</v>
      </c>
      <c r="BN41" s="129">
        <f t="shared" si="3"/>
        <v>0</v>
      </c>
      <c r="BR41" s="73">
        <f t="shared" si="52"/>
        <v>0</v>
      </c>
      <c r="BS41" s="73">
        <f t="shared" si="53"/>
        <v>0</v>
      </c>
      <c r="BT41" s="73">
        <f t="shared" si="54"/>
        <v>0</v>
      </c>
      <c r="BU41" s="73">
        <f t="shared" si="55"/>
        <v>0</v>
      </c>
      <c r="BV41" s="73">
        <f t="shared" si="56"/>
        <v>241.63379560925085</v>
      </c>
      <c r="BW41" s="73">
        <f t="shared" si="57"/>
        <v>0</v>
      </c>
      <c r="BX41" s="73">
        <f t="shared" si="58"/>
        <v>0</v>
      </c>
      <c r="BY41" s="73">
        <f t="shared" si="59"/>
        <v>0</v>
      </c>
      <c r="BZ41" s="74">
        <f t="shared" si="60"/>
        <v>289.96055473110101</v>
      </c>
      <c r="CB41" s="75">
        <f t="shared" si="4"/>
        <v>289.96055473110101</v>
      </c>
      <c r="CJ41" s="70">
        <f t="shared" si="5"/>
        <v>0</v>
      </c>
      <c r="CK41" s="166"/>
      <c r="CL41" s="166"/>
      <c r="CM41" s="68"/>
      <c r="CN41" s="20"/>
      <c r="CQ41" s="177">
        <f t="shared" si="17"/>
        <v>0</v>
      </c>
      <c r="CR41" s="177">
        <f t="shared" si="18"/>
        <v>0</v>
      </c>
    </row>
    <row r="42" spans="1:96" s="8" customFormat="1" ht="75" x14ac:dyDescent="0.3">
      <c r="A42" s="44"/>
      <c r="B42" s="51" t="s">
        <v>576</v>
      </c>
      <c r="C42" s="77" t="s">
        <v>590</v>
      </c>
      <c r="D42" s="28" t="s">
        <v>131</v>
      </c>
      <c r="E42" s="20"/>
      <c r="F42" s="21"/>
      <c r="G42" s="21"/>
      <c r="H42" s="21"/>
      <c r="I42" s="22" t="s">
        <v>131</v>
      </c>
      <c r="J42" s="20" t="s">
        <v>131</v>
      </c>
      <c r="K42" s="20">
        <v>0</v>
      </c>
      <c r="L42" s="20">
        <f>M42+N42+O42+P42</f>
        <v>0</v>
      </c>
      <c r="M42" s="20"/>
      <c r="N42" s="20"/>
      <c r="O42" s="20"/>
      <c r="P42" s="20"/>
      <c r="Q42" s="20">
        <v>287.91000000000003</v>
      </c>
      <c r="R42" s="20">
        <f>0.07*Q42</f>
        <v>20.153700000000004</v>
      </c>
      <c r="S42" s="20">
        <f>0.85*Q42</f>
        <v>244.7235</v>
      </c>
      <c r="T42" s="20">
        <f>0.03*Q42</f>
        <v>8.6372999999999998</v>
      </c>
      <c r="U42" s="20">
        <f>0.05*Q42</f>
        <v>14.395500000000002</v>
      </c>
      <c r="V42" s="20">
        <v>0</v>
      </c>
      <c r="W42" s="20">
        <f t="shared" ref="W42:W45" si="71">L42-K42</f>
        <v>0</v>
      </c>
      <c r="X42" s="20"/>
      <c r="Y42" s="20">
        <f t="shared" ref="Y42:Y45" si="72">W42-(AB42+AD42+AF42)</f>
        <v>0</v>
      </c>
      <c r="Z42" s="20"/>
      <c r="AA42" s="20">
        <f t="shared" ref="AA42:AA45" si="73">Q42-(K42+AC42+AE42+AG42)</f>
        <v>287.91000000000003</v>
      </c>
      <c r="AB42" s="20">
        <v>0</v>
      </c>
      <c r="AC42" s="20">
        <v>0</v>
      </c>
      <c r="AD42" s="20"/>
      <c r="AE42" s="20"/>
      <c r="AF42" s="20"/>
      <c r="AG42" s="20"/>
      <c r="AH42" s="20"/>
      <c r="AI42" s="20">
        <v>287.91000000000003</v>
      </c>
      <c r="AJ42" s="20"/>
      <c r="AK42" s="20"/>
      <c r="AL42" s="20"/>
      <c r="AM42" s="20"/>
      <c r="AN42" s="20">
        <f t="shared" ref="AN42:AN45" si="74">SUM(AD42+AF42+AH42+AJ42+AL42)</f>
        <v>0</v>
      </c>
      <c r="AO42" s="20">
        <f t="shared" ref="AO42:AO45" si="75">SUM(AE42+AG42+AI42+AK42+AM42)</f>
        <v>287.91000000000003</v>
      </c>
      <c r="AP42" s="94"/>
      <c r="AQ42" s="86"/>
      <c r="AR42" s="85">
        <f t="shared" si="8"/>
        <v>0</v>
      </c>
      <c r="AS42" s="85">
        <f t="shared" si="9"/>
        <v>0</v>
      </c>
      <c r="AT42" s="113">
        <f t="shared" si="39"/>
        <v>287.91000000000003</v>
      </c>
      <c r="AV42" s="105">
        <f t="shared" si="40"/>
        <v>0</v>
      </c>
      <c r="AX42" s="31"/>
      <c r="AY42" s="166"/>
      <c r="AZ42" s="118"/>
      <c r="BA42" s="118">
        <v>282.41000000000003</v>
      </c>
      <c r="BB42" s="118"/>
      <c r="BC42" s="118"/>
      <c r="BE42" s="118">
        <f t="shared" si="11"/>
        <v>0</v>
      </c>
      <c r="BF42" s="118">
        <f t="shared" si="12"/>
        <v>5.5</v>
      </c>
      <c r="BG42" s="118">
        <f t="shared" si="13"/>
        <v>0</v>
      </c>
      <c r="BH42" s="118">
        <f t="shared" si="14"/>
        <v>0</v>
      </c>
      <c r="BI42" s="122">
        <f t="shared" si="15"/>
        <v>5.5</v>
      </c>
      <c r="BJ42" s="118">
        <f t="shared" si="51"/>
        <v>0</v>
      </c>
      <c r="BK42" s="44"/>
      <c r="BM42" s="128">
        <f t="shared" si="2"/>
        <v>287.91000000000003</v>
      </c>
      <c r="BN42" s="129">
        <f t="shared" si="3"/>
        <v>0</v>
      </c>
      <c r="BR42" s="73">
        <f t="shared" si="52"/>
        <v>0</v>
      </c>
      <c r="BS42" s="73">
        <f t="shared" si="53"/>
        <v>0</v>
      </c>
      <c r="BT42" s="73">
        <f t="shared" si="54"/>
        <v>0</v>
      </c>
      <c r="BU42" s="73">
        <f t="shared" si="55"/>
        <v>0</v>
      </c>
      <c r="BV42" s="73">
        <f t="shared" si="56"/>
        <v>241.63379560925085</v>
      </c>
      <c r="BW42" s="73">
        <f t="shared" si="57"/>
        <v>0</v>
      </c>
      <c r="BX42" s="73">
        <f t="shared" si="58"/>
        <v>0</v>
      </c>
      <c r="BY42" s="73">
        <f t="shared" si="59"/>
        <v>0</v>
      </c>
      <c r="BZ42" s="74">
        <f t="shared" si="60"/>
        <v>289.96055473110101</v>
      </c>
      <c r="CB42" s="75">
        <f t="shared" si="4"/>
        <v>289.96055473110101</v>
      </c>
      <c r="CJ42" s="70">
        <f t="shared" si="5"/>
        <v>0</v>
      </c>
      <c r="CK42" s="166"/>
      <c r="CL42" s="166"/>
      <c r="CM42" s="68"/>
      <c r="CN42" s="20"/>
      <c r="CQ42" s="177">
        <f t="shared" si="17"/>
        <v>0</v>
      </c>
      <c r="CR42" s="177">
        <f t="shared" si="18"/>
        <v>0</v>
      </c>
    </row>
    <row r="43" spans="1:96" s="8" customFormat="1" ht="144" customHeight="1" x14ac:dyDescent="0.3">
      <c r="A43" s="44"/>
      <c r="B43" s="134" t="s">
        <v>576</v>
      </c>
      <c r="C43" s="77" t="s">
        <v>592</v>
      </c>
      <c r="D43" s="28" t="s">
        <v>527</v>
      </c>
      <c r="E43" s="141" t="s">
        <v>601</v>
      </c>
      <c r="F43" s="141">
        <f>IF(K43&gt;0,2018,IF(AC43&gt;0,2019,IF(AE43&gt;0,2020,IF(AG43&gt;0,2021,IF(AI43&gt;0,2022,IF(AK43&gt;0,2023,IF(AM43&gt;0,2024,"нд")))))))</f>
        <v>2022</v>
      </c>
      <c r="G43" s="142" t="str">
        <f>IF(AND(L43-(K43+AB43+AD43+AF43+AH43+AJ43+AL43)&lt;0.1,L43-(K43+AB43+AD43+AF43+AH43+AJ43+AL43)&gt;0.00001),"Ошибка в -",IF((K43+AB43+AD43+AF43+AH43+AJ43+AL43)&gt;L43,"Ошибка в +",IF(L43&gt;(K43+AB43+AD43+AF43+AH43+AJ43+AL43),2025,IF(AL43&gt;0,2024,IF(AJ43&gt;0,2023,IF(AH43&gt;0,2022,IF(AF43&gt;0,2021,IF(AD43&gt;0,2020,IF(AB43&gt;0,2019,IF(K43&gt;0,2018,"нд"))))))))))</f>
        <v>нд</v>
      </c>
      <c r="H43" s="142">
        <f>IF(AND((Q43-(K43+AC43+AE43+AG43+AI43+AK43+AM43))&lt;0.1,Q43-(K43+AC43+AE43+AG43+AI43+AK43+AM43)&gt;0.0001),"Ошибка в -",IF((K43+AC43+AE43+AG43+AI43+AK43+AM43)&gt;Q43,"Ошибка в +",IF(Q43&gt;(K43+AC43+AE43+AG43+AI43+AK43+AM43),2025,IF(AM43&gt;0,2024,IF(AK43&gt;0,2023,IF(AI43&gt;0,2022,IF(AG43&gt;0,2021,IF(AE43&gt;0,2020,IF(AC43&gt;0,2019,IF(K43&gt;0,2018,"нд"))))))))))</f>
        <v>2022</v>
      </c>
      <c r="I43" s="22" t="s">
        <v>131</v>
      </c>
      <c r="J43" s="20" t="s">
        <v>131</v>
      </c>
      <c r="K43" s="20">
        <v>0</v>
      </c>
      <c r="L43" s="20">
        <f>M43+N43+O43+P43</f>
        <v>0</v>
      </c>
      <c r="M43" s="20"/>
      <c r="N43" s="20"/>
      <c r="O43" s="20"/>
      <c r="P43" s="20"/>
      <c r="Q43" s="20">
        <v>287.91000000000003</v>
      </c>
      <c r="R43" s="20">
        <f>0.07*Q43</f>
        <v>20.153700000000004</v>
      </c>
      <c r="S43" s="20">
        <f>0.85*Q43</f>
        <v>244.7235</v>
      </c>
      <c r="T43" s="20">
        <f>0.03*Q43</f>
        <v>8.6372999999999998</v>
      </c>
      <c r="U43" s="20">
        <f>0.05*Q43</f>
        <v>14.395500000000002</v>
      </c>
      <c r="V43" s="20">
        <v>0</v>
      </c>
      <c r="W43" s="20">
        <f t="shared" si="71"/>
        <v>0</v>
      </c>
      <c r="X43" s="20"/>
      <c r="Y43" s="20">
        <f t="shared" si="72"/>
        <v>0</v>
      </c>
      <c r="Z43" s="20"/>
      <c r="AA43" s="20">
        <f t="shared" si="73"/>
        <v>287.91000000000003</v>
      </c>
      <c r="AB43" s="20">
        <v>0</v>
      </c>
      <c r="AC43" s="20">
        <v>0</v>
      </c>
      <c r="AD43" s="20"/>
      <c r="AE43" s="20"/>
      <c r="AF43" s="20"/>
      <c r="AG43" s="20"/>
      <c r="AH43" s="20"/>
      <c r="AI43" s="20">
        <v>287.91000000000003</v>
      </c>
      <c r="AJ43" s="20"/>
      <c r="AK43" s="20"/>
      <c r="AL43" s="20"/>
      <c r="AM43" s="20"/>
      <c r="AN43" s="20">
        <f t="shared" si="74"/>
        <v>0</v>
      </c>
      <c r="AO43" s="20">
        <f t="shared" si="75"/>
        <v>287.91000000000003</v>
      </c>
      <c r="AP43" s="94" t="s">
        <v>545</v>
      </c>
      <c r="AQ43" s="86"/>
      <c r="AR43" s="85"/>
      <c r="AS43" s="85"/>
      <c r="AT43" s="113"/>
      <c r="AV43" s="105"/>
      <c r="AX43" s="31"/>
      <c r="AY43" s="166"/>
      <c r="AZ43" s="118"/>
      <c r="BA43" s="118"/>
      <c r="BB43" s="118"/>
      <c r="BC43" s="118"/>
      <c r="BE43" s="118"/>
      <c r="BF43" s="118"/>
      <c r="BG43" s="118"/>
      <c r="BH43" s="118"/>
      <c r="BI43" s="122"/>
      <c r="BJ43" s="118"/>
      <c r="BK43" s="44"/>
      <c r="BM43" s="128">
        <f t="shared" si="2"/>
        <v>287.91000000000003</v>
      </c>
      <c r="BN43" s="129">
        <f t="shared" si="3"/>
        <v>0</v>
      </c>
      <c r="BR43" s="73"/>
      <c r="BS43" s="73"/>
      <c r="BT43" s="73"/>
      <c r="BU43" s="73"/>
      <c r="BV43" s="73"/>
      <c r="BW43" s="73"/>
      <c r="BX43" s="73"/>
      <c r="BY43" s="73"/>
      <c r="BZ43" s="74"/>
      <c r="CB43" s="75"/>
      <c r="CJ43" s="70"/>
      <c r="CK43" s="166"/>
      <c r="CL43" s="166"/>
      <c r="CM43" s="68"/>
      <c r="CN43" s="20"/>
      <c r="CQ43" s="177">
        <f t="shared" si="17"/>
        <v>0</v>
      </c>
      <c r="CR43" s="177">
        <f t="shared" si="18"/>
        <v>0</v>
      </c>
    </row>
    <row r="44" spans="1:96" s="8" customFormat="1" ht="56.25" x14ac:dyDescent="0.3">
      <c r="A44" s="44"/>
      <c r="B44" s="51" t="s">
        <v>576</v>
      </c>
      <c r="C44" s="77" t="s">
        <v>588</v>
      </c>
      <c r="D44" s="28" t="s">
        <v>602</v>
      </c>
      <c r="E44" s="20"/>
      <c r="F44" s="21"/>
      <c r="G44" s="21"/>
      <c r="H44" s="21"/>
      <c r="I44" s="22" t="s">
        <v>131</v>
      </c>
      <c r="J44" s="20" t="s">
        <v>131</v>
      </c>
      <c r="K44" s="20">
        <v>0</v>
      </c>
      <c r="L44" s="20">
        <f>M44+N44+O44+P44</f>
        <v>0</v>
      </c>
      <c r="M44" s="20"/>
      <c r="N44" s="20"/>
      <c r="O44" s="20"/>
      <c r="P44" s="20"/>
      <c r="Q44" s="20">
        <v>0</v>
      </c>
      <c r="R44" s="20">
        <f>0.07*Q44</f>
        <v>0</v>
      </c>
      <c r="S44" s="20">
        <f>0.86*Q44</f>
        <v>0</v>
      </c>
      <c r="T44" s="20">
        <f>0*Q44</f>
        <v>0</v>
      </c>
      <c r="U44" s="20">
        <f>0.07*Q44</f>
        <v>0</v>
      </c>
      <c r="V44" s="20">
        <v>0</v>
      </c>
      <c r="W44" s="20">
        <f t="shared" si="71"/>
        <v>0</v>
      </c>
      <c r="X44" s="20"/>
      <c r="Y44" s="20">
        <f t="shared" si="72"/>
        <v>0</v>
      </c>
      <c r="Z44" s="20"/>
      <c r="AA44" s="20">
        <f t="shared" si="73"/>
        <v>0</v>
      </c>
      <c r="AB44" s="20">
        <v>0</v>
      </c>
      <c r="AC44" s="20">
        <v>0</v>
      </c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>
        <f t="shared" si="74"/>
        <v>0</v>
      </c>
      <c r="AO44" s="20">
        <f t="shared" si="75"/>
        <v>0</v>
      </c>
      <c r="AP44" s="100"/>
      <c r="AQ44" s="86"/>
      <c r="AR44" s="85">
        <f t="shared" si="8"/>
        <v>0</v>
      </c>
      <c r="AS44" s="85">
        <f t="shared" si="9"/>
        <v>0</v>
      </c>
      <c r="AT44" s="113">
        <f t="shared" si="39"/>
        <v>0</v>
      </c>
      <c r="AV44" s="105">
        <f t="shared" si="40"/>
        <v>0</v>
      </c>
      <c r="AX44" s="31"/>
      <c r="AY44" s="166"/>
      <c r="AZ44" s="118"/>
      <c r="BA44" s="118"/>
      <c r="BB44" s="118"/>
      <c r="BC44" s="118"/>
      <c r="BE44" s="118">
        <f t="shared" si="11"/>
        <v>0</v>
      </c>
      <c r="BF44" s="118">
        <f t="shared" si="12"/>
        <v>0</v>
      </c>
      <c r="BG44" s="118">
        <f t="shared" si="13"/>
        <v>0</v>
      </c>
      <c r="BH44" s="118">
        <f t="shared" si="14"/>
        <v>0</v>
      </c>
      <c r="BI44" s="122">
        <f t="shared" si="15"/>
        <v>0</v>
      </c>
      <c r="BJ44" s="118">
        <f t="shared" si="51"/>
        <v>0</v>
      </c>
      <c r="BK44" s="44"/>
      <c r="BM44" s="128">
        <f t="shared" si="2"/>
        <v>0</v>
      </c>
      <c r="BN44" s="129">
        <f t="shared" si="3"/>
        <v>0</v>
      </c>
      <c r="BR44" s="73">
        <f t="shared" si="52"/>
        <v>0</v>
      </c>
      <c r="BS44" s="73">
        <f t="shared" si="53"/>
        <v>0</v>
      </c>
      <c r="BT44" s="73">
        <f t="shared" si="54"/>
        <v>0</v>
      </c>
      <c r="BU44" s="73">
        <f t="shared" si="55"/>
        <v>0</v>
      </c>
      <c r="BV44" s="73">
        <f t="shared" si="56"/>
        <v>0</v>
      </c>
      <c r="BW44" s="73">
        <f t="shared" si="57"/>
        <v>0</v>
      </c>
      <c r="BX44" s="73">
        <f t="shared" si="58"/>
        <v>0</v>
      </c>
      <c r="BY44" s="73">
        <f t="shared" si="59"/>
        <v>0</v>
      </c>
      <c r="BZ44" s="74">
        <f t="shared" si="60"/>
        <v>0</v>
      </c>
      <c r="CB44" s="75">
        <f t="shared" si="4"/>
        <v>0</v>
      </c>
      <c r="CJ44" s="70">
        <f t="shared" si="5"/>
        <v>0</v>
      </c>
      <c r="CK44" s="166"/>
      <c r="CL44" s="166"/>
      <c r="CM44" s="68"/>
      <c r="CN44" s="20"/>
      <c r="CQ44" s="177">
        <f t="shared" si="17"/>
        <v>0</v>
      </c>
      <c r="CR44" s="177">
        <f t="shared" si="18"/>
        <v>0</v>
      </c>
    </row>
    <row r="45" spans="1:96" s="8" customFormat="1" ht="56.25" x14ac:dyDescent="0.3">
      <c r="A45" s="44"/>
      <c r="B45" s="51" t="s">
        <v>576</v>
      </c>
      <c r="C45" s="77" t="s">
        <v>432</v>
      </c>
      <c r="D45" s="28" t="s">
        <v>602</v>
      </c>
      <c r="E45" s="20"/>
      <c r="F45" s="21"/>
      <c r="G45" s="21"/>
      <c r="H45" s="21"/>
      <c r="I45" s="22" t="s">
        <v>131</v>
      </c>
      <c r="J45" s="20" t="s">
        <v>131</v>
      </c>
      <c r="K45" s="20">
        <v>0</v>
      </c>
      <c r="L45" s="20">
        <f>M45+N45+O45+P45</f>
        <v>0</v>
      </c>
      <c r="M45" s="20"/>
      <c r="N45" s="20"/>
      <c r="O45" s="20"/>
      <c r="P45" s="20"/>
      <c r="Q45" s="20">
        <v>0</v>
      </c>
      <c r="R45" s="20">
        <f>0.07*Q45</f>
        <v>0</v>
      </c>
      <c r="S45" s="20">
        <f>0.86*Q45</f>
        <v>0</v>
      </c>
      <c r="T45" s="20">
        <f>0*Q45</f>
        <v>0</v>
      </c>
      <c r="U45" s="20">
        <f>0.07*Q45</f>
        <v>0</v>
      </c>
      <c r="V45" s="20">
        <v>0</v>
      </c>
      <c r="W45" s="20">
        <f t="shared" si="71"/>
        <v>0</v>
      </c>
      <c r="X45" s="20"/>
      <c r="Y45" s="20">
        <f t="shared" si="72"/>
        <v>0</v>
      </c>
      <c r="Z45" s="20"/>
      <c r="AA45" s="20">
        <f t="shared" si="73"/>
        <v>0</v>
      </c>
      <c r="AB45" s="20">
        <v>0</v>
      </c>
      <c r="AC45" s="20">
        <v>0</v>
      </c>
      <c r="AD45" s="20"/>
      <c r="AE45" s="20"/>
      <c r="AF45" s="20"/>
      <c r="AG45" s="20"/>
      <c r="AH45" s="20"/>
      <c r="AI45" s="20">
        <v>0</v>
      </c>
      <c r="AJ45" s="20"/>
      <c r="AK45" s="20"/>
      <c r="AL45" s="20"/>
      <c r="AM45" s="20"/>
      <c r="AN45" s="28">
        <f t="shared" si="74"/>
        <v>0</v>
      </c>
      <c r="AO45" s="28">
        <f t="shared" si="75"/>
        <v>0</v>
      </c>
      <c r="AP45" s="94"/>
      <c r="AQ45" s="86"/>
      <c r="AR45" s="85">
        <f t="shared" si="8"/>
        <v>0</v>
      </c>
      <c r="AS45" s="85">
        <f t="shared" si="9"/>
        <v>0</v>
      </c>
      <c r="AT45" s="113">
        <f t="shared" si="39"/>
        <v>0</v>
      </c>
      <c r="AV45" s="105">
        <f t="shared" si="40"/>
        <v>0</v>
      </c>
      <c r="AX45" s="31"/>
      <c r="AY45" s="166"/>
      <c r="AZ45" s="118"/>
      <c r="BA45" s="118"/>
      <c r="BB45" s="118"/>
      <c r="BC45" s="118"/>
      <c r="BE45" s="118">
        <f t="shared" si="11"/>
        <v>0</v>
      </c>
      <c r="BF45" s="118">
        <f t="shared" si="12"/>
        <v>0</v>
      </c>
      <c r="BG45" s="118">
        <f t="shared" si="13"/>
        <v>0</v>
      </c>
      <c r="BH45" s="118">
        <f t="shared" si="14"/>
        <v>0</v>
      </c>
      <c r="BI45" s="122">
        <f t="shared" si="15"/>
        <v>0</v>
      </c>
      <c r="BJ45" s="118">
        <f t="shared" si="51"/>
        <v>0</v>
      </c>
      <c r="BK45" s="44"/>
      <c r="BM45" s="128">
        <f t="shared" si="2"/>
        <v>0</v>
      </c>
      <c r="BN45" s="129">
        <f t="shared" si="3"/>
        <v>0</v>
      </c>
      <c r="BR45" s="73">
        <f t="shared" si="52"/>
        <v>0</v>
      </c>
      <c r="BS45" s="73">
        <f t="shared" si="53"/>
        <v>0</v>
      </c>
      <c r="BT45" s="73">
        <f t="shared" si="54"/>
        <v>0</v>
      </c>
      <c r="BU45" s="73">
        <f t="shared" si="55"/>
        <v>0</v>
      </c>
      <c r="BV45" s="73">
        <f t="shared" si="56"/>
        <v>0</v>
      </c>
      <c r="BW45" s="73">
        <f t="shared" si="57"/>
        <v>0</v>
      </c>
      <c r="BX45" s="73">
        <f t="shared" si="58"/>
        <v>0</v>
      </c>
      <c r="BY45" s="73">
        <f t="shared" si="59"/>
        <v>0</v>
      </c>
      <c r="BZ45" s="74">
        <f t="shared" si="60"/>
        <v>0</v>
      </c>
      <c r="CB45" s="75">
        <f t="shared" si="4"/>
        <v>0</v>
      </c>
      <c r="CJ45" s="70">
        <f t="shared" si="5"/>
        <v>0</v>
      </c>
      <c r="CK45" s="166"/>
      <c r="CL45" s="166"/>
      <c r="CM45" s="68"/>
      <c r="CN45" s="20"/>
      <c r="CQ45" s="177">
        <f t="shared" si="17"/>
        <v>0</v>
      </c>
      <c r="CR45" s="177">
        <f t="shared" si="18"/>
        <v>0</v>
      </c>
    </row>
    <row r="46" spans="1:96" s="8" customFormat="1" ht="51.75" customHeight="1" x14ac:dyDescent="0.3">
      <c r="A46" s="44"/>
      <c r="B46" s="149" t="s">
        <v>586</v>
      </c>
      <c r="C46" s="158" t="s">
        <v>587</v>
      </c>
      <c r="D46" s="28" t="s">
        <v>129</v>
      </c>
      <c r="E46" s="20"/>
      <c r="F46" s="21">
        <v>2022</v>
      </c>
      <c r="G46" s="21" t="s">
        <v>131</v>
      </c>
      <c r="H46" s="21">
        <v>2022</v>
      </c>
      <c r="I46" s="22" t="s">
        <v>131</v>
      </c>
      <c r="J46" s="22">
        <f>J47+J48+J49</f>
        <v>12.0359</v>
      </c>
      <c r="K46" s="22">
        <f t="shared" ref="K46:AO46" si="76">K47+K48+K49</f>
        <v>0</v>
      </c>
      <c r="L46" s="22">
        <f t="shared" si="76"/>
        <v>0</v>
      </c>
      <c r="M46" s="22">
        <f t="shared" si="76"/>
        <v>0</v>
      </c>
      <c r="N46" s="22">
        <f t="shared" si="76"/>
        <v>0</v>
      </c>
      <c r="O46" s="22">
        <f t="shared" si="76"/>
        <v>0</v>
      </c>
      <c r="P46" s="22">
        <f t="shared" si="76"/>
        <v>0</v>
      </c>
      <c r="Q46" s="22">
        <f t="shared" si="76"/>
        <v>12.0359</v>
      </c>
      <c r="R46" s="22">
        <f t="shared" si="76"/>
        <v>0.84251300000000007</v>
      </c>
      <c r="S46" s="22">
        <f t="shared" si="76"/>
        <v>10.350873999999999</v>
      </c>
      <c r="T46" s="22">
        <f t="shared" si="76"/>
        <v>0</v>
      </c>
      <c r="U46" s="22">
        <f t="shared" si="76"/>
        <v>0.84251300000000007</v>
      </c>
      <c r="V46" s="22">
        <f t="shared" si="76"/>
        <v>0</v>
      </c>
      <c r="W46" s="22">
        <f t="shared" si="76"/>
        <v>0</v>
      </c>
      <c r="X46" s="22">
        <f t="shared" si="76"/>
        <v>0</v>
      </c>
      <c r="Y46" s="22">
        <f t="shared" si="76"/>
        <v>0</v>
      </c>
      <c r="Z46" s="22">
        <f t="shared" si="76"/>
        <v>0</v>
      </c>
      <c r="AA46" s="22">
        <f t="shared" si="76"/>
        <v>12.0359</v>
      </c>
      <c r="AB46" s="22">
        <f t="shared" si="76"/>
        <v>0</v>
      </c>
      <c r="AC46" s="22">
        <f t="shared" si="76"/>
        <v>0</v>
      </c>
      <c r="AD46" s="22">
        <f t="shared" si="76"/>
        <v>0</v>
      </c>
      <c r="AE46" s="22">
        <f t="shared" si="76"/>
        <v>0</v>
      </c>
      <c r="AF46" s="22">
        <f t="shared" si="76"/>
        <v>0</v>
      </c>
      <c r="AG46" s="22">
        <f t="shared" si="76"/>
        <v>0</v>
      </c>
      <c r="AH46" s="22">
        <f t="shared" si="76"/>
        <v>0</v>
      </c>
      <c r="AI46" s="22">
        <f t="shared" si="76"/>
        <v>12.0359</v>
      </c>
      <c r="AJ46" s="22">
        <f t="shared" si="76"/>
        <v>0</v>
      </c>
      <c r="AK46" s="22">
        <f t="shared" si="76"/>
        <v>0</v>
      </c>
      <c r="AL46" s="22">
        <f t="shared" si="76"/>
        <v>0</v>
      </c>
      <c r="AM46" s="22">
        <f t="shared" si="76"/>
        <v>0</v>
      </c>
      <c r="AN46" s="22">
        <f t="shared" si="76"/>
        <v>0</v>
      </c>
      <c r="AO46" s="22">
        <f t="shared" si="76"/>
        <v>12.0359</v>
      </c>
      <c r="AP46" s="94"/>
      <c r="AQ46" s="86"/>
      <c r="AR46" s="85"/>
      <c r="AS46" s="85"/>
      <c r="AT46" s="113"/>
      <c r="AV46" s="105"/>
      <c r="AX46" s="31"/>
      <c r="AY46" s="166"/>
      <c r="AZ46" s="118"/>
      <c r="BA46" s="118"/>
      <c r="BB46" s="118"/>
      <c r="BC46" s="118"/>
      <c r="BE46" s="118"/>
      <c r="BF46" s="118"/>
      <c r="BG46" s="118"/>
      <c r="BH46" s="118"/>
      <c r="BI46" s="122"/>
      <c r="BJ46" s="118"/>
      <c r="BK46" s="44"/>
      <c r="BM46" s="128">
        <f t="shared" si="2"/>
        <v>12.0359</v>
      </c>
      <c r="BN46" s="129"/>
      <c r="BR46" s="73"/>
      <c r="BS46" s="73"/>
      <c r="BT46" s="73"/>
      <c r="BU46" s="73"/>
      <c r="BV46" s="73"/>
      <c r="BW46" s="73"/>
      <c r="BX46" s="73"/>
      <c r="BY46" s="73"/>
      <c r="BZ46" s="74"/>
      <c r="CB46" s="75"/>
      <c r="CJ46" s="70"/>
      <c r="CK46" s="166"/>
      <c r="CL46" s="167"/>
      <c r="CM46" s="68"/>
      <c r="CN46" s="20"/>
      <c r="CQ46" s="177">
        <f t="shared" si="17"/>
        <v>0</v>
      </c>
      <c r="CR46" s="177">
        <f t="shared" si="18"/>
        <v>0</v>
      </c>
    </row>
    <row r="47" spans="1:96" s="8" customFormat="1" ht="75" x14ac:dyDescent="0.3">
      <c r="A47" s="44"/>
      <c r="B47" s="149" t="s">
        <v>586</v>
      </c>
      <c r="C47" s="77" t="s">
        <v>590</v>
      </c>
      <c r="D47" s="28" t="s">
        <v>602</v>
      </c>
      <c r="E47" s="20"/>
      <c r="F47" s="21"/>
      <c r="G47" s="21"/>
      <c r="H47" s="21"/>
      <c r="I47" s="22" t="s">
        <v>131</v>
      </c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8"/>
      <c r="AO47" s="28"/>
      <c r="AP47" s="94"/>
      <c r="AQ47" s="86"/>
      <c r="AR47" s="85"/>
      <c r="AS47" s="85"/>
      <c r="AT47" s="113"/>
      <c r="AV47" s="105"/>
      <c r="AX47" s="31"/>
      <c r="AY47" s="166"/>
      <c r="AZ47" s="118"/>
      <c r="BA47" s="118"/>
      <c r="BB47" s="118"/>
      <c r="BC47" s="118"/>
      <c r="BE47" s="118"/>
      <c r="BF47" s="118"/>
      <c r="BG47" s="118"/>
      <c r="BH47" s="118"/>
      <c r="BI47" s="122"/>
      <c r="BJ47" s="118"/>
      <c r="BK47" s="44"/>
      <c r="BM47" s="128">
        <f t="shared" si="2"/>
        <v>0</v>
      </c>
      <c r="BN47" s="129"/>
      <c r="BR47" s="73"/>
      <c r="BS47" s="73"/>
      <c r="BT47" s="73"/>
      <c r="BU47" s="73"/>
      <c r="BV47" s="73"/>
      <c r="BW47" s="73"/>
      <c r="BX47" s="73"/>
      <c r="BY47" s="73"/>
      <c r="BZ47" s="74"/>
      <c r="CB47" s="75"/>
      <c r="CJ47" s="70"/>
      <c r="CK47" s="166"/>
      <c r="CL47" s="163"/>
      <c r="CM47" s="68"/>
      <c r="CN47" s="20"/>
      <c r="CQ47" s="177">
        <f t="shared" si="17"/>
        <v>0</v>
      </c>
      <c r="CR47" s="177">
        <f t="shared" si="18"/>
        <v>0</v>
      </c>
    </row>
    <row r="48" spans="1:96" s="8" customFormat="1" ht="56.25" x14ac:dyDescent="0.3">
      <c r="A48" s="44"/>
      <c r="B48" s="149" t="s">
        <v>586</v>
      </c>
      <c r="C48" s="77" t="s">
        <v>588</v>
      </c>
      <c r="D48" s="28" t="s">
        <v>602</v>
      </c>
      <c r="E48" s="20"/>
      <c r="F48" s="21"/>
      <c r="G48" s="21"/>
      <c r="H48" s="21"/>
      <c r="I48" s="22" t="s">
        <v>131</v>
      </c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8"/>
      <c r="AO48" s="28"/>
      <c r="AP48" s="94"/>
      <c r="AQ48" s="86"/>
      <c r="AR48" s="85"/>
      <c r="AS48" s="85"/>
      <c r="AT48" s="113"/>
      <c r="AV48" s="105"/>
      <c r="AX48" s="31"/>
      <c r="AY48" s="166"/>
      <c r="AZ48" s="118"/>
      <c r="BA48" s="118"/>
      <c r="BB48" s="118"/>
      <c r="BC48" s="118"/>
      <c r="BE48" s="118"/>
      <c r="BF48" s="118"/>
      <c r="BG48" s="118"/>
      <c r="BH48" s="118"/>
      <c r="BI48" s="122"/>
      <c r="BJ48" s="118"/>
      <c r="BK48" s="44"/>
      <c r="BM48" s="128">
        <f t="shared" si="2"/>
        <v>0</v>
      </c>
      <c r="BN48" s="129"/>
      <c r="BR48" s="73"/>
      <c r="BS48" s="73"/>
      <c r="BT48" s="73"/>
      <c r="BU48" s="73"/>
      <c r="BV48" s="73"/>
      <c r="BW48" s="73"/>
      <c r="BX48" s="73"/>
      <c r="BY48" s="73"/>
      <c r="BZ48" s="74"/>
      <c r="CB48" s="75"/>
      <c r="CJ48" s="70"/>
      <c r="CK48" s="166"/>
      <c r="CL48" s="163"/>
      <c r="CM48" s="68"/>
      <c r="CN48" s="20"/>
      <c r="CQ48" s="177">
        <f t="shared" si="17"/>
        <v>0</v>
      </c>
      <c r="CR48" s="177">
        <f t="shared" si="18"/>
        <v>0</v>
      </c>
    </row>
    <row r="49" spans="1:96" s="8" customFormat="1" ht="56.25" x14ac:dyDescent="0.3">
      <c r="A49" s="44"/>
      <c r="B49" s="149" t="s">
        <v>586</v>
      </c>
      <c r="C49" s="77" t="s">
        <v>432</v>
      </c>
      <c r="D49" s="28" t="s">
        <v>602</v>
      </c>
      <c r="E49" s="20"/>
      <c r="F49" s="21"/>
      <c r="G49" s="21"/>
      <c r="H49" s="21"/>
      <c r="I49" s="22" t="str">
        <f>I50</f>
        <v>нд</v>
      </c>
      <c r="J49" s="22">
        <f>J50</f>
        <v>12.0359</v>
      </c>
      <c r="K49" s="22">
        <f t="shared" ref="K49:AO49" si="77">K50</f>
        <v>0</v>
      </c>
      <c r="L49" s="22">
        <f t="shared" si="77"/>
        <v>0</v>
      </c>
      <c r="M49" s="22">
        <f t="shared" si="77"/>
        <v>0</v>
      </c>
      <c r="N49" s="22">
        <f t="shared" si="77"/>
        <v>0</v>
      </c>
      <c r="O49" s="22">
        <f t="shared" si="77"/>
        <v>0</v>
      </c>
      <c r="P49" s="22">
        <f t="shared" si="77"/>
        <v>0</v>
      </c>
      <c r="Q49" s="22">
        <f t="shared" si="77"/>
        <v>12.0359</v>
      </c>
      <c r="R49" s="22">
        <f t="shared" si="77"/>
        <v>0.84251300000000007</v>
      </c>
      <c r="S49" s="22">
        <f t="shared" si="77"/>
        <v>10.350873999999999</v>
      </c>
      <c r="T49" s="22">
        <f t="shared" si="77"/>
        <v>0</v>
      </c>
      <c r="U49" s="22">
        <f t="shared" si="77"/>
        <v>0.84251300000000007</v>
      </c>
      <c r="V49" s="22">
        <f t="shared" si="77"/>
        <v>0</v>
      </c>
      <c r="W49" s="22">
        <f t="shared" si="77"/>
        <v>0</v>
      </c>
      <c r="X49" s="22">
        <f t="shared" si="77"/>
        <v>0</v>
      </c>
      <c r="Y49" s="22">
        <f t="shared" si="77"/>
        <v>0</v>
      </c>
      <c r="Z49" s="22">
        <f t="shared" si="77"/>
        <v>0</v>
      </c>
      <c r="AA49" s="22">
        <f t="shared" si="77"/>
        <v>12.0359</v>
      </c>
      <c r="AB49" s="22">
        <f t="shared" si="77"/>
        <v>0</v>
      </c>
      <c r="AC49" s="22">
        <f t="shared" si="77"/>
        <v>0</v>
      </c>
      <c r="AD49" s="22">
        <f t="shared" si="77"/>
        <v>0</v>
      </c>
      <c r="AE49" s="22">
        <f t="shared" si="77"/>
        <v>0</v>
      </c>
      <c r="AF49" s="22">
        <f t="shared" si="77"/>
        <v>0</v>
      </c>
      <c r="AG49" s="22">
        <f t="shared" si="77"/>
        <v>0</v>
      </c>
      <c r="AH49" s="22">
        <f t="shared" si="77"/>
        <v>0</v>
      </c>
      <c r="AI49" s="22">
        <f t="shared" si="77"/>
        <v>12.0359</v>
      </c>
      <c r="AJ49" s="22">
        <f t="shared" si="77"/>
        <v>0</v>
      </c>
      <c r="AK49" s="22">
        <f t="shared" si="77"/>
        <v>0</v>
      </c>
      <c r="AL49" s="22">
        <f t="shared" si="77"/>
        <v>0</v>
      </c>
      <c r="AM49" s="22">
        <f t="shared" si="77"/>
        <v>0</v>
      </c>
      <c r="AN49" s="22">
        <f t="shared" si="77"/>
        <v>0</v>
      </c>
      <c r="AO49" s="22">
        <f t="shared" si="77"/>
        <v>12.0359</v>
      </c>
      <c r="AP49" s="94"/>
      <c r="AQ49" s="86"/>
      <c r="AR49" s="85"/>
      <c r="AS49" s="85"/>
      <c r="AT49" s="113"/>
      <c r="AV49" s="105"/>
      <c r="AX49" s="31"/>
      <c r="AY49" s="166"/>
      <c r="AZ49" s="118"/>
      <c r="BA49" s="118"/>
      <c r="BB49" s="118"/>
      <c r="BC49" s="118"/>
      <c r="BE49" s="118"/>
      <c r="BF49" s="118"/>
      <c r="BG49" s="118"/>
      <c r="BH49" s="118"/>
      <c r="BI49" s="122"/>
      <c r="BJ49" s="118"/>
      <c r="BK49" s="44"/>
      <c r="BM49" s="128">
        <f t="shared" si="2"/>
        <v>12.0359</v>
      </c>
      <c r="BN49" s="129"/>
      <c r="BR49" s="73"/>
      <c r="BS49" s="73"/>
      <c r="BT49" s="73"/>
      <c r="BU49" s="73"/>
      <c r="BV49" s="73"/>
      <c r="BW49" s="73"/>
      <c r="BX49" s="73"/>
      <c r="BY49" s="73"/>
      <c r="BZ49" s="74"/>
      <c r="CB49" s="75"/>
      <c r="CJ49" s="70"/>
      <c r="CK49" s="166"/>
      <c r="CL49" s="163"/>
      <c r="CM49" s="68"/>
      <c r="CN49" s="20"/>
      <c r="CQ49" s="177">
        <f t="shared" si="17"/>
        <v>0</v>
      </c>
      <c r="CR49" s="177">
        <f t="shared" si="18"/>
        <v>0</v>
      </c>
    </row>
    <row r="50" spans="1:96" s="8" customFormat="1" ht="56.25" customHeight="1" x14ac:dyDescent="0.3">
      <c r="A50" s="44"/>
      <c r="B50" s="51" t="s">
        <v>586</v>
      </c>
      <c r="C50" s="137" t="s">
        <v>523</v>
      </c>
      <c r="D50" s="20" t="s">
        <v>529</v>
      </c>
      <c r="E50" s="27" t="s">
        <v>181</v>
      </c>
      <c r="F50" s="21">
        <f>IF(K50&gt;0,2018,IF(AC50&gt;0,2019,IF(AE50&gt;0,2020,IF(AG50&gt;0,2021,IF(AI50&gt;0,2022,IF(AK50&gt;0,2023,IF(AM50&gt;0,2024,"нд")))))))</f>
        <v>2022</v>
      </c>
      <c r="G50" s="46" t="str">
        <f>IF(AND(L50-(K50+AB50+AD50+AF50+AH50+AJ50+AL50)&lt;0.1,L50-(K50+AB50+AD50+AF50+AH50+AJ50+AL50)&gt;0.00001),"Ошибка в -",IF((K50+AB50+AD50+AF50+AH50+AJ50+AL50)&gt;L50,"Ошибка в +",IF(L50&gt;(K50+AB50+AD50+AF50+AH50+AJ50+AL50),2025,IF(AL50&gt;0,2024,IF(AJ50&gt;0,2023,IF(AH50&gt;0,2022,IF(AF50&gt;0,2021,IF(AD50&gt;0,2020,IF(AB50&gt;0,2019,IF(K50&gt;0,2018,"нд"))))))))))</f>
        <v>нд</v>
      </c>
      <c r="H50" s="46">
        <f>IF(AND((Q50-(K50+AC50+AE50+AG50+AI50+AK50+AM50))&lt;0.1,Q50-(K50+AC50+AE50+AG50+AI50+AK50+AM50)&gt;0.0001),"Ошибка в -",IF((K50+AC50+AE50+AG50+AI50+AK50+AM50)&gt;Q50,"Ошибка в +",IF(Q50&gt;(K50+AC50+AE50+AG50+AI50+AK50+AM50),2025,IF(AM50&gt;0,2024,IF(AK50&gt;0,2023,IF(AI50&gt;0,2022,IF(AG50&gt;0,2021,IF(AE50&gt;0,2020,IF(AC50&gt;0,2019,IF(K50&gt;0,2018,"нд"))))))))))</f>
        <v>2022</v>
      </c>
      <c r="I50" s="22" t="s">
        <v>131</v>
      </c>
      <c r="J50" s="28">
        <f>Q50</f>
        <v>12.0359</v>
      </c>
      <c r="K50" s="20">
        <v>0</v>
      </c>
      <c r="L50" s="20">
        <f>M50+N50+O50+P50</f>
        <v>0</v>
      </c>
      <c r="M50" s="20">
        <v>0</v>
      </c>
      <c r="N50" s="20">
        <v>0</v>
      </c>
      <c r="O50" s="20">
        <v>0</v>
      </c>
      <c r="P50" s="20">
        <v>0</v>
      </c>
      <c r="Q50" s="20">
        <v>12.0359</v>
      </c>
      <c r="R50" s="20">
        <f>0.07*Q50</f>
        <v>0.84251300000000007</v>
      </c>
      <c r="S50" s="20">
        <f>0.86*Q50</f>
        <v>10.350873999999999</v>
      </c>
      <c r="T50" s="20">
        <f>0*Q50</f>
        <v>0</v>
      </c>
      <c r="U50" s="20">
        <f>0.07*Q50</f>
        <v>0.84251300000000007</v>
      </c>
      <c r="V50" s="20">
        <v>0</v>
      </c>
      <c r="W50" s="20">
        <f t="shared" ref="W50" si="78">L50-K50</f>
        <v>0</v>
      </c>
      <c r="X50" s="20"/>
      <c r="Y50" s="20">
        <f t="shared" ref="Y50" si="79">W50-(AB50+AD50+AF50)</f>
        <v>0</v>
      </c>
      <c r="Z50" s="28"/>
      <c r="AA50" s="20">
        <f t="shared" ref="AA50" si="80">Q50-(K50+AC50+AE50+AG50)</f>
        <v>12.0359</v>
      </c>
      <c r="AB50" s="20">
        <v>0</v>
      </c>
      <c r="AC50" s="20">
        <v>0</v>
      </c>
      <c r="AD50" s="20">
        <v>0</v>
      </c>
      <c r="AE50" s="20"/>
      <c r="AF50" s="20"/>
      <c r="AG50" s="20"/>
      <c r="AH50" s="20"/>
      <c r="AI50" s="20">
        <v>12.0359</v>
      </c>
      <c r="AJ50" s="20"/>
      <c r="AK50" s="20"/>
      <c r="AL50" s="20">
        <v>0</v>
      </c>
      <c r="AM50" s="20"/>
      <c r="AN50" s="20">
        <f>SUM(AD50+AF50+AH50+AJ50+AL50)</f>
        <v>0</v>
      </c>
      <c r="AO50" s="20">
        <f>SUM(AE50+AG50+AI50+AK50+AM50)</f>
        <v>12.0359</v>
      </c>
      <c r="AP50" s="94" t="s">
        <v>564</v>
      </c>
      <c r="AQ50" s="86"/>
      <c r="AR50" s="85">
        <f>L50-(K50+AB50+AD50+AF50+AH50+AJ50+AL50)</f>
        <v>0</v>
      </c>
      <c r="AS50" s="85">
        <f>Q50-(K50+AC50+AE50+AG50+AI50+AK50+AM50)</f>
        <v>0</v>
      </c>
      <c r="AT50" s="113">
        <f>Q50-L50</f>
        <v>12.0359</v>
      </c>
      <c r="AV50" s="105">
        <f>Q50-K50-AC50-AE50-AG50-AI50-AK50-AM50</f>
        <v>0</v>
      </c>
      <c r="AX50" s="31">
        <f>J50-Q50</f>
        <v>0</v>
      </c>
      <c r="AY50" s="166"/>
      <c r="AZ50" s="118"/>
      <c r="BA50" s="118">
        <v>11.5</v>
      </c>
      <c r="BB50" s="118"/>
      <c r="BC50" s="118"/>
      <c r="BE50" s="118">
        <f>AG50-AZ50</f>
        <v>0</v>
      </c>
      <c r="BF50" s="118">
        <f>AI50-BA50</f>
        <v>0.53589999999999982</v>
      </c>
      <c r="BG50" s="118">
        <f>AK50-BB50</f>
        <v>0</v>
      </c>
      <c r="BH50" s="118">
        <f>AM50-BC50</f>
        <v>0</v>
      </c>
      <c r="BI50" s="122">
        <f>BE50+BF50+BG50+BH50</f>
        <v>0.53589999999999982</v>
      </c>
      <c r="BJ50" s="118">
        <f>(AO50+AC50+K50)-Q50</f>
        <v>0</v>
      </c>
      <c r="BK50" s="44">
        <v>2022</v>
      </c>
      <c r="BL50" s="8" t="b">
        <f>EXACT(BK50,H50)</f>
        <v>1</v>
      </c>
      <c r="BM50" s="128">
        <f t="shared" si="2"/>
        <v>12.0359</v>
      </c>
      <c r="BN50" s="129">
        <f>BM50-Q50</f>
        <v>0</v>
      </c>
      <c r="BR50" s="86">
        <f>K50/$BR$15</f>
        <v>0</v>
      </c>
      <c r="BS50" s="86">
        <f>AC50/$BS$15</f>
        <v>0</v>
      </c>
      <c r="BT50" s="86">
        <f>AE50/$BT$15</f>
        <v>0</v>
      </c>
      <c r="BU50" s="86">
        <f>AG50/$BU$15</f>
        <v>0</v>
      </c>
      <c r="BV50" s="86">
        <f>AI50/$BV$15</f>
        <v>10.101351813321461</v>
      </c>
      <c r="BW50" s="86">
        <f>AK50/$BW$15</f>
        <v>0</v>
      </c>
      <c r="BX50" s="86">
        <f>AM50/$BX$15</f>
        <v>0</v>
      </c>
      <c r="BY50" s="86">
        <f>(Q50-K50-AC50-AE50-AG50-AI50-AK50-AM50)/$BY$15</f>
        <v>0</v>
      </c>
      <c r="BZ50" s="87">
        <f>SUM(BR50:BY50)*1.2</f>
        <v>12.121622175985753</v>
      </c>
      <c r="CB50" s="75">
        <f>((Q50-(K50+AC50+AE50+AG50+AI50+AK50+AM50))/$BY$15+K50/$BR$15+AC50/$BS$15+AE50/$BT$15+AG50/$BU$15+AI50/$BV$15+AK50/$BW$15+AM50/$BX$15)*1.2</f>
        <v>12.121622175985753</v>
      </c>
      <c r="CJ50" s="70">
        <f>Q50-R50-S50-T50-U50</f>
        <v>0</v>
      </c>
      <c r="CK50" s="166"/>
      <c r="CL50" s="163"/>
      <c r="CM50" s="68"/>
      <c r="CN50" s="20"/>
      <c r="CQ50" s="177">
        <f t="shared" si="17"/>
        <v>0</v>
      </c>
      <c r="CR50" s="177">
        <f t="shared" si="18"/>
        <v>0</v>
      </c>
    </row>
    <row r="51" spans="1:96" ht="75" x14ac:dyDescent="0.3">
      <c r="B51" s="54" t="s">
        <v>59</v>
      </c>
      <c r="C51" s="55" t="s">
        <v>60</v>
      </c>
      <c r="D51" s="35" t="s">
        <v>129</v>
      </c>
      <c r="E51" s="35"/>
      <c r="F51" s="35"/>
      <c r="G51" s="36"/>
      <c r="H51" s="36"/>
      <c r="I51" s="37" t="s">
        <v>131</v>
      </c>
      <c r="J51" s="35">
        <f>J52+J55</f>
        <v>230.64400000000001</v>
      </c>
      <c r="K51" s="35">
        <f t="shared" ref="K51:AO51" si="81">K52+K55</f>
        <v>0</v>
      </c>
      <c r="L51" s="35">
        <f t="shared" si="81"/>
        <v>542.26390000000004</v>
      </c>
      <c r="M51" s="35">
        <f t="shared" si="81"/>
        <v>31.061</v>
      </c>
      <c r="N51" s="35">
        <f t="shared" si="81"/>
        <v>255.928</v>
      </c>
      <c r="O51" s="35">
        <f t="shared" si="81"/>
        <v>220.8</v>
      </c>
      <c r="P51" s="35">
        <f t="shared" si="81"/>
        <v>34.511000000000003</v>
      </c>
      <c r="Q51" s="35">
        <f t="shared" si="81"/>
        <v>542.26390000000004</v>
      </c>
      <c r="R51" s="35">
        <f t="shared" si="81"/>
        <v>31.059195000000003</v>
      </c>
      <c r="S51" s="35">
        <f t="shared" si="81"/>
        <v>255.91897499999999</v>
      </c>
      <c r="T51" s="35">
        <f t="shared" si="81"/>
        <v>220.77689600000002</v>
      </c>
      <c r="U51" s="35">
        <f t="shared" si="81"/>
        <v>34.508834</v>
      </c>
      <c r="V51" s="35">
        <f t="shared" si="81"/>
        <v>0</v>
      </c>
      <c r="W51" s="35">
        <f t="shared" si="81"/>
        <v>542.26390000000004</v>
      </c>
      <c r="X51" s="35">
        <f t="shared" si="81"/>
        <v>0</v>
      </c>
      <c r="Y51" s="35">
        <f t="shared" si="81"/>
        <v>-51.499999999999972</v>
      </c>
      <c r="Z51" s="35">
        <f t="shared" si="81"/>
        <v>0</v>
      </c>
      <c r="AA51" s="35">
        <f t="shared" si="81"/>
        <v>0</v>
      </c>
      <c r="AB51" s="35">
        <f t="shared" si="81"/>
        <v>22.863900000000001</v>
      </c>
      <c r="AC51" s="35">
        <f t="shared" si="81"/>
        <v>22.863900000000001</v>
      </c>
      <c r="AD51" s="35">
        <f t="shared" si="81"/>
        <v>570.9</v>
      </c>
      <c r="AE51" s="35">
        <f t="shared" si="81"/>
        <v>519.40000000000009</v>
      </c>
      <c r="AF51" s="35">
        <f t="shared" si="81"/>
        <v>0</v>
      </c>
      <c r="AG51" s="35">
        <f t="shared" si="81"/>
        <v>0</v>
      </c>
      <c r="AH51" s="35">
        <f t="shared" si="81"/>
        <v>0</v>
      </c>
      <c r="AI51" s="35">
        <f t="shared" si="81"/>
        <v>0</v>
      </c>
      <c r="AJ51" s="35">
        <f t="shared" si="81"/>
        <v>0</v>
      </c>
      <c r="AK51" s="35">
        <f t="shared" si="81"/>
        <v>0</v>
      </c>
      <c r="AL51" s="35">
        <f t="shared" si="81"/>
        <v>0</v>
      </c>
      <c r="AM51" s="35">
        <f t="shared" si="81"/>
        <v>0</v>
      </c>
      <c r="AN51" s="35">
        <f t="shared" si="81"/>
        <v>570.9</v>
      </c>
      <c r="AO51" s="35">
        <f t="shared" si="81"/>
        <v>519.40000000000009</v>
      </c>
      <c r="AP51" s="98" t="s">
        <v>131</v>
      </c>
      <c r="AQ51" s="86"/>
      <c r="AR51" s="85">
        <f t="shared" si="8"/>
        <v>-51.499999999999886</v>
      </c>
      <c r="AS51" s="85">
        <f t="shared" si="9"/>
        <v>0</v>
      </c>
      <c r="AT51" s="113"/>
      <c r="AV51" s="105">
        <f t="shared" si="40"/>
        <v>0</v>
      </c>
      <c r="AX51" s="31"/>
      <c r="AY51" s="15"/>
      <c r="AZ51" s="118">
        <v>0</v>
      </c>
      <c r="BA51" s="118">
        <v>0</v>
      </c>
      <c r="BB51" s="118">
        <v>0</v>
      </c>
      <c r="BC51" s="118">
        <v>0</v>
      </c>
      <c r="BD51" s="8"/>
      <c r="BE51" s="118">
        <f t="shared" si="11"/>
        <v>0</v>
      </c>
      <c r="BF51" s="118">
        <f t="shared" si="12"/>
        <v>0</v>
      </c>
      <c r="BG51" s="118">
        <f t="shared" si="13"/>
        <v>0</v>
      </c>
      <c r="BH51" s="118">
        <f t="shared" si="14"/>
        <v>0</v>
      </c>
      <c r="BI51" s="122">
        <f t="shared" si="15"/>
        <v>0</v>
      </c>
      <c r="BJ51" s="123"/>
      <c r="BK51" s="108"/>
      <c r="BM51" s="128">
        <f t="shared" si="2"/>
        <v>542.26390000000015</v>
      </c>
      <c r="BN51" s="129">
        <f t="shared" si="3"/>
        <v>0</v>
      </c>
      <c r="CB51" s="75">
        <f t="shared" si="4"/>
        <v>594.95270778526162</v>
      </c>
      <c r="CJ51" s="70">
        <f t="shared" si="5"/>
        <v>0</v>
      </c>
      <c r="CL51" s="163"/>
      <c r="CM51" s="68"/>
      <c r="CN51" s="35">
        <f t="shared" ref="CN51" si="82">CN52+CN55</f>
        <v>570.91700000000003</v>
      </c>
      <c r="CQ51" s="177">
        <f t="shared" si="17"/>
        <v>519.40000000000009</v>
      </c>
      <c r="CR51" s="177">
        <f t="shared" si="18"/>
        <v>-51.499999999999886</v>
      </c>
    </row>
    <row r="52" spans="1:96" ht="56.25" x14ac:dyDescent="0.3">
      <c r="B52" s="56" t="s">
        <v>61</v>
      </c>
      <c r="C52" s="57" t="s">
        <v>62</v>
      </c>
      <c r="D52" s="32" t="s">
        <v>129</v>
      </c>
      <c r="E52" s="32"/>
      <c r="F52" s="32"/>
      <c r="G52" s="33"/>
      <c r="H52" s="33"/>
      <c r="I52" s="34" t="s">
        <v>131</v>
      </c>
      <c r="J52" s="32">
        <f>N(J53)+N(J54)</f>
        <v>230.64400000000001</v>
      </c>
      <c r="K52" s="32">
        <f>K53+K54</f>
        <v>0</v>
      </c>
      <c r="L52" s="32">
        <f t="shared" ref="L52:AO52" si="83">L53+L54</f>
        <v>542.26390000000004</v>
      </c>
      <c r="M52" s="32">
        <f t="shared" si="83"/>
        <v>31.061</v>
      </c>
      <c r="N52" s="32">
        <f t="shared" si="83"/>
        <v>255.928</v>
      </c>
      <c r="O52" s="32">
        <f t="shared" si="83"/>
        <v>220.8</v>
      </c>
      <c r="P52" s="32">
        <f t="shared" si="83"/>
        <v>34.511000000000003</v>
      </c>
      <c r="Q52" s="32">
        <f t="shared" si="83"/>
        <v>542.26390000000004</v>
      </c>
      <c r="R52" s="32">
        <f t="shared" si="83"/>
        <v>31.059195000000003</v>
      </c>
      <c r="S52" s="32">
        <f t="shared" si="83"/>
        <v>255.91897499999999</v>
      </c>
      <c r="T52" s="32">
        <f t="shared" si="83"/>
        <v>220.77689600000002</v>
      </c>
      <c r="U52" s="32">
        <f t="shared" si="83"/>
        <v>34.508834</v>
      </c>
      <c r="V52" s="32">
        <f t="shared" si="83"/>
        <v>0</v>
      </c>
      <c r="W52" s="32">
        <f t="shared" si="83"/>
        <v>542.26390000000004</v>
      </c>
      <c r="X52" s="32">
        <f t="shared" si="83"/>
        <v>0</v>
      </c>
      <c r="Y52" s="32">
        <f t="shared" si="83"/>
        <v>-51.499999999999972</v>
      </c>
      <c r="Z52" s="32">
        <f t="shared" si="83"/>
        <v>0</v>
      </c>
      <c r="AA52" s="32">
        <f t="shared" si="83"/>
        <v>0</v>
      </c>
      <c r="AB52" s="32">
        <f t="shared" si="83"/>
        <v>22.863900000000001</v>
      </c>
      <c r="AC52" s="32">
        <f t="shared" si="83"/>
        <v>22.863900000000001</v>
      </c>
      <c r="AD52" s="32">
        <f t="shared" si="83"/>
        <v>570.9</v>
      </c>
      <c r="AE52" s="32">
        <f t="shared" si="83"/>
        <v>519.40000000000009</v>
      </c>
      <c r="AF52" s="32">
        <f t="shared" si="83"/>
        <v>0</v>
      </c>
      <c r="AG52" s="32">
        <f t="shared" si="83"/>
        <v>0</v>
      </c>
      <c r="AH52" s="32">
        <f t="shared" si="83"/>
        <v>0</v>
      </c>
      <c r="AI52" s="32">
        <f t="shared" si="83"/>
        <v>0</v>
      </c>
      <c r="AJ52" s="32">
        <f t="shared" si="83"/>
        <v>0</v>
      </c>
      <c r="AK52" s="32">
        <f t="shared" si="83"/>
        <v>0</v>
      </c>
      <c r="AL52" s="32">
        <f t="shared" si="83"/>
        <v>0</v>
      </c>
      <c r="AM52" s="32">
        <f t="shared" si="83"/>
        <v>0</v>
      </c>
      <c r="AN52" s="32">
        <f t="shared" si="83"/>
        <v>570.9</v>
      </c>
      <c r="AO52" s="32">
        <f t="shared" si="83"/>
        <v>519.40000000000009</v>
      </c>
      <c r="AP52" s="99" t="s">
        <v>131</v>
      </c>
      <c r="AQ52" s="86"/>
      <c r="AR52" s="85">
        <f t="shared" si="8"/>
        <v>-51.499999999999886</v>
      </c>
      <c r="AS52" s="85">
        <f t="shared" si="9"/>
        <v>0</v>
      </c>
      <c r="AT52" s="113"/>
      <c r="AV52" s="105">
        <f t="shared" si="40"/>
        <v>0</v>
      </c>
      <c r="AX52" s="31"/>
      <c r="AY52" s="15"/>
      <c r="AZ52" s="118">
        <v>0</v>
      </c>
      <c r="BA52" s="118">
        <v>0</v>
      </c>
      <c r="BB52" s="118">
        <v>0</v>
      </c>
      <c r="BC52" s="118">
        <v>0</v>
      </c>
      <c r="BD52" s="8"/>
      <c r="BE52" s="118">
        <f t="shared" si="11"/>
        <v>0</v>
      </c>
      <c r="BF52" s="118">
        <f t="shared" si="12"/>
        <v>0</v>
      </c>
      <c r="BG52" s="118">
        <f t="shared" si="13"/>
        <v>0</v>
      </c>
      <c r="BH52" s="118">
        <f t="shared" si="14"/>
        <v>0</v>
      </c>
      <c r="BI52" s="122">
        <f t="shared" si="15"/>
        <v>0</v>
      </c>
      <c r="BJ52" s="123"/>
      <c r="BK52" s="108"/>
      <c r="BM52" s="128">
        <f t="shared" si="2"/>
        <v>542.26390000000015</v>
      </c>
      <c r="BN52" s="129">
        <f t="shared" si="3"/>
        <v>0</v>
      </c>
      <c r="CB52" s="75">
        <f t="shared" si="4"/>
        <v>594.95270778526162</v>
      </c>
      <c r="CJ52" s="70">
        <f t="shared" si="5"/>
        <v>0</v>
      </c>
      <c r="CL52" s="163"/>
      <c r="CM52" s="68"/>
      <c r="CN52" s="32">
        <f t="shared" ref="CN52" si="84">CN53+CN54</f>
        <v>570.91700000000003</v>
      </c>
      <c r="CQ52" s="177">
        <f t="shared" si="17"/>
        <v>519.40000000000009</v>
      </c>
      <c r="CR52" s="177">
        <f t="shared" si="18"/>
        <v>-51.499999999999886</v>
      </c>
    </row>
    <row r="53" spans="1:96" s="8" customFormat="1" ht="34.5" customHeight="1" x14ac:dyDescent="0.3">
      <c r="A53" s="44" t="s">
        <v>525</v>
      </c>
      <c r="B53" s="51" t="s">
        <v>61</v>
      </c>
      <c r="C53" s="76" t="s">
        <v>355</v>
      </c>
      <c r="D53" s="20" t="s">
        <v>357</v>
      </c>
      <c r="E53" s="21" t="s">
        <v>487</v>
      </c>
      <c r="F53" s="21">
        <f t="shared" ref="F53:F54" si="85">IF(K53&gt;0,2018,IF(AC53&gt;0,2019,IF(AE53&gt;0,2020,IF(AG53&gt;0,2021,IF(AI53&gt;0,2022,IF(AK53&gt;0,2023,IF(AM53&gt;0,2024,"нд")))))))</f>
        <v>2019</v>
      </c>
      <c r="G53" s="46" t="str">
        <f t="shared" ref="G53:G54" si="86">IF(AND(L53-(K53+AB53+AD53+AF53+AH53+AJ53+AL53)&lt;0.1,L53-(K53+AB53+AD53+AF53+AH53+AJ53+AL53)&gt;0.00001),"Ошибка в -",IF((K53+AB53+AD53+AF53+AH53+AJ53+AL53)&gt;L53,"Ошибка в +",IF(L53&gt;(K53+AB53+AD53+AF53+AH53+AJ53+AL53),2025,IF(AL53&gt;0,2024,IF(AJ53&gt;0,2023,IF(AH53&gt;0,2022,IF(AF53&gt;0,2021,IF(AD53&gt;0,2020,IF(AB53&gt;0,2019,IF(K53&gt;0,2018,"нд"))))))))))</f>
        <v>Ошибка в +</v>
      </c>
      <c r="H53" s="46">
        <f t="shared" ref="H53:H54" si="87">IF(AND((Q53-(K53+AC53+AE53+AG53+AI53+AK53+AM53))&lt;0.1,Q53-(K53+AC53+AE53+AG53+AI53+AK53+AM53)&gt;0.0001),"Ошибка в -",IF((K53+AC53+AE53+AG53+AI53+AK53+AM53)&gt;Q53,"Ошибка в +",IF(Q53&gt;(K53+AC53+AE53+AG53+AI53+AK53+AM53),2025,IF(AM53&gt;0,2024,IF(AK53&gt;0,2023,IF(AI53&gt;0,2022,IF(AG53&gt;0,2021,IF(AE53&gt;0,2020,IF(AC53&gt;0,2019,IF(K53&gt;0,2018,"нд"))))))))))</f>
        <v>2020</v>
      </c>
      <c r="I53" s="22" t="s">
        <v>131</v>
      </c>
      <c r="J53" s="20" t="s">
        <v>131</v>
      </c>
      <c r="K53" s="20">
        <v>0</v>
      </c>
      <c r="L53" s="20">
        <v>344.96390000000002</v>
      </c>
      <c r="M53" s="20">
        <v>17.25</v>
      </c>
      <c r="N53" s="20">
        <v>86.25</v>
      </c>
      <c r="O53" s="20">
        <v>220.8</v>
      </c>
      <c r="P53" s="20">
        <f>20.7</f>
        <v>20.7</v>
      </c>
      <c r="Q53" s="20">
        <v>344.96390000000002</v>
      </c>
      <c r="R53" s="20">
        <f>0.05*Q53</f>
        <v>17.248195000000003</v>
      </c>
      <c r="S53" s="20">
        <f>0.25*Q53</f>
        <v>86.240975000000006</v>
      </c>
      <c r="T53" s="20">
        <f>0.64*Q53</f>
        <v>220.77689600000002</v>
      </c>
      <c r="U53" s="20">
        <f>0.06*Q53</f>
        <v>20.697834</v>
      </c>
      <c r="V53" s="20">
        <v>0</v>
      </c>
      <c r="W53" s="20">
        <f t="shared" ref="W53:W54" si="88">L53-K53</f>
        <v>344.96390000000002</v>
      </c>
      <c r="X53" s="20"/>
      <c r="Y53" s="20">
        <f t="shared" ref="Y53:Y54" si="89">W53-(AB53+AD53+AF53)</f>
        <v>-11.899999999999977</v>
      </c>
      <c r="Z53" s="20"/>
      <c r="AA53" s="20">
        <f t="shared" ref="AA53:AA54" si="90">Q53-(K53+AC53+AE53+AG53)</f>
        <v>0</v>
      </c>
      <c r="AB53" s="20">
        <v>10.863899999999999</v>
      </c>
      <c r="AC53" s="20">
        <v>10.863899999999999</v>
      </c>
      <c r="AD53" s="174">
        <v>346</v>
      </c>
      <c r="AE53" s="20">
        <v>334.1</v>
      </c>
      <c r="AF53" s="20"/>
      <c r="AG53" s="20"/>
      <c r="AH53" s="20"/>
      <c r="AI53" s="20"/>
      <c r="AJ53" s="20"/>
      <c r="AK53" s="20"/>
      <c r="AL53" s="20"/>
      <c r="AM53" s="20"/>
      <c r="AN53" s="20">
        <f t="shared" ref="AN53:AN54" si="91">SUM(AD53+AF53+AH53+AJ53+AL53)</f>
        <v>346</v>
      </c>
      <c r="AO53" s="20">
        <f t="shared" ref="AO53:AO54" si="92">SUM(AE53+AG53+AI53+AK53+AM53)</f>
        <v>334.1</v>
      </c>
      <c r="AP53" s="94"/>
      <c r="AQ53" s="106"/>
      <c r="AR53" s="85">
        <f t="shared" si="8"/>
        <v>-11.899999999999977</v>
      </c>
      <c r="AS53" s="85">
        <f t="shared" si="9"/>
        <v>0</v>
      </c>
      <c r="AT53" s="22">
        <f t="shared" si="39"/>
        <v>0</v>
      </c>
      <c r="AV53" s="105">
        <f t="shared" si="40"/>
        <v>0</v>
      </c>
      <c r="AX53" s="31" t="e">
        <f t="shared" ref="AX53:AX54" si="93">J53-Q53</f>
        <v>#VALUE!</v>
      </c>
      <c r="AY53" s="166"/>
      <c r="AZ53" s="118"/>
      <c r="BA53" s="118"/>
      <c r="BB53" s="118"/>
      <c r="BC53" s="118"/>
      <c r="BE53" s="118">
        <f t="shared" si="11"/>
        <v>0</v>
      </c>
      <c r="BF53" s="118">
        <f t="shared" si="12"/>
        <v>0</v>
      </c>
      <c r="BG53" s="118">
        <f t="shared" si="13"/>
        <v>0</v>
      </c>
      <c r="BH53" s="118">
        <f t="shared" si="14"/>
        <v>0</v>
      </c>
      <c r="BI53" s="122">
        <f t="shared" si="15"/>
        <v>0</v>
      </c>
      <c r="BJ53" s="118">
        <f t="shared" ref="BJ53:BJ54" si="94">(AO53+AC53+K53)-Q53</f>
        <v>0</v>
      </c>
      <c r="BK53" s="44">
        <v>2020</v>
      </c>
      <c r="BL53" s="8" t="b">
        <f t="shared" ref="BL53:BL54" si="95">EXACT(BK53,H53)</f>
        <v>1</v>
      </c>
      <c r="BM53" s="128">
        <f t="shared" si="2"/>
        <v>344.96390000000002</v>
      </c>
      <c r="BN53" s="129">
        <f t="shared" si="3"/>
        <v>0</v>
      </c>
      <c r="BR53" s="73">
        <f>K53/$BR$15</f>
        <v>0</v>
      </c>
      <c r="BS53" s="73">
        <f>AC53/$BS$15</f>
        <v>10.346571428571428</v>
      </c>
      <c r="BT53" s="73">
        <f>AE53/$BT$15</f>
        <v>304.90888428438291</v>
      </c>
      <c r="BU53" s="73">
        <f>AG53/$BU$15</f>
        <v>0</v>
      </c>
      <c r="BV53" s="73">
        <f>AI53/$BV$15</f>
        <v>0</v>
      </c>
      <c r="BW53" s="73">
        <f>AK53/$BW$15</f>
        <v>0</v>
      </c>
      <c r="BX53" s="73">
        <f>AM53/$BX$15</f>
        <v>0</v>
      </c>
      <c r="BY53" s="73">
        <f>(Q53-K53-AC53-AE53-AG53-AI53-AK53-AM53)/$BY$15</f>
        <v>0</v>
      </c>
      <c r="BZ53" s="74">
        <f t="shared" ref="BZ53:BZ54" si="96">SUM(BR53:BY53)*1.2</f>
        <v>378.30654685554521</v>
      </c>
      <c r="CB53" s="75">
        <f t="shared" si="4"/>
        <v>378.30654685554521</v>
      </c>
      <c r="CJ53" s="70">
        <f t="shared" si="5"/>
        <v>0</v>
      </c>
      <c r="CK53" s="166"/>
      <c r="CL53" s="163"/>
      <c r="CM53" s="68"/>
      <c r="CN53" s="20">
        <v>346</v>
      </c>
      <c r="CQ53" s="177">
        <f t="shared" si="17"/>
        <v>334.1</v>
      </c>
      <c r="CR53" s="177">
        <f t="shared" si="18"/>
        <v>-11.899999999999977</v>
      </c>
    </row>
    <row r="54" spans="1:96" s="8" customFormat="1" ht="36" customHeight="1" x14ac:dyDescent="0.3">
      <c r="A54" s="44" t="s">
        <v>525</v>
      </c>
      <c r="B54" s="51" t="s">
        <v>61</v>
      </c>
      <c r="C54" s="76" t="s">
        <v>356</v>
      </c>
      <c r="D54" s="20" t="s">
        <v>358</v>
      </c>
      <c r="E54" s="21" t="s">
        <v>487</v>
      </c>
      <c r="F54" s="21">
        <f t="shared" si="85"/>
        <v>2019</v>
      </c>
      <c r="G54" s="46" t="str">
        <f t="shared" si="86"/>
        <v>Ошибка в +</v>
      </c>
      <c r="H54" s="46">
        <f t="shared" si="87"/>
        <v>2020</v>
      </c>
      <c r="I54" s="22" t="s">
        <v>131</v>
      </c>
      <c r="J54" s="20">
        <v>230.64400000000001</v>
      </c>
      <c r="K54" s="20">
        <v>0</v>
      </c>
      <c r="L54" s="20">
        <f t="shared" ref="L54" si="97">M54+N54+O54+P54</f>
        <v>197.3</v>
      </c>
      <c r="M54" s="20">
        <v>13.811000000000002</v>
      </c>
      <c r="N54" s="20">
        <v>169.678</v>
      </c>
      <c r="O54" s="20">
        <v>0</v>
      </c>
      <c r="P54" s="20">
        <v>13.811000000000002</v>
      </c>
      <c r="Q54" s="20">
        <v>197.3</v>
      </c>
      <c r="R54" s="20">
        <f>0.07*Q54</f>
        <v>13.811000000000002</v>
      </c>
      <c r="S54" s="20">
        <f>0.86*Q54</f>
        <v>169.678</v>
      </c>
      <c r="T54" s="20">
        <f>0*Q54</f>
        <v>0</v>
      </c>
      <c r="U54" s="20">
        <f>0.07*Q54</f>
        <v>13.811000000000002</v>
      </c>
      <c r="V54" s="20">
        <v>0</v>
      </c>
      <c r="W54" s="20">
        <f t="shared" si="88"/>
        <v>197.3</v>
      </c>
      <c r="X54" s="20"/>
      <c r="Y54" s="20">
        <f t="shared" si="89"/>
        <v>-39.599999999999994</v>
      </c>
      <c r="Z54" s="20"/>
      <c r="AA54" s="20">
        <f t="shared" si="90"/>
        <v>0</v>
      </c>
      <c r="AB54" s="20">
        <v>12</v>
      </c>
      <c r="AC54" s="20">
        <v>12</v>
      </c>
      <c r="AD54" s="174">
        <v>224.9</v>
      </c>
      <c r="AE54" s="20">
        <v>185.3</v>
      </c>
      <c r="AF54" s="20"/>
      <c r="AG54" s="20"/>
      <c r="AH54" s="20"/>
      <c r="AI54" s="20"/>
      <c r="AJ54" s="20"/>
      <c r="AK54" s="20"/>
      <c r="AL54" s="20"/>
      <c r="AM54" s="20"/>
      <c r="AN54" s="20">
        <f t="shared" si="91"/>
        <v>224.9</v>
      </c>
      <c r="AO54" s="20">
        <f t="shared" si="92"/>
        <v>185.3</v>
      </c>
      <c r="AP54" s="94"/>
      <c r="AQ54" s="86"/>
      <c r="AR54" s="85">
        <f t="shared" si="8"/>
        <v>-39.599999999999994</v>
      </c>
      <c r="AS54" s="85">
        <f t="shared" si="9"/>
        <v>0</v>
      </c>
      <c r="AT54" s="22">
        <f t="shared" si="39"/>
        <v>0</v>
      </c>
      <c r="AV54" s="105">
        <f t="shared" si="40"/>
        <v>0</v>
      </c>
      <c r="AX54" s="31">
        <f t="shared" si="93"/>
        <v>33.343999999999994</v>
      </c>
      <c r="AY54" s="166"/>
      <c r="AZ54" s="118"/>
      <c r="BA54" s="118"/>
      <c r="BB54" s="118"/>
      <c r="BC54" s="118"/>
      <c r="BE54" s="118">
        <f t="shared" si="11"/>
        <v>0</v>
      </c>
      <c r="BF54" s="118">
        <f t="shared" si="12"/>
        <v>0</v>
      </c>
      <c r="BG54" s="118">
        <f t="shared" si="13"/>
        <v>0</v>
      </c>
      <c r="BH54" s="118">
        <f t="shared" si="14"/>
        <v>0</v>
      </c>
      <c r="BI54" s="122">
        <f t="shared" si="15"/>
        <v>0</v>
      </c>
      <c r="BJ54" s="118">
        <f t="shared" si="94"/>
        <v>0</v>
      </c>
      <c r="BK54" s="44">
        <v>2020</v>
      </c>
      <c r="BL54" s="8" t="b">
        <f t="shared" si="95"/>
        <v>1</v>
      </c>
      <c r="BM54" s="128">
        <f t="shared" si="2"/>
        <v>197.3</v>
      </c>
      <c r="BN54" s="129">
        <f t="shared" si="3"/>
        <v>0</v>
      </c>
      <c r="BR54" s="73">
        <f>K54/$BR$15</f>
        <v>0</v>
      </c>
      <c r="BS54" s="73">
        <f>AC54/$BS$15</f>
        <v>11.428571428571429</v>
      </c>
      <c r="BT54" s="73">
        <f>AE54/$BT$15</f>
        <v>169.10989601285888</v>
      </c>
      <c r="BU54" s="73">
        <f>AG54/$BU$15</f>
        <v>0</v>
      </c>
      <c r="BV54" s="73">
        <f>AI54/$BV$15</f>
        <v>0</v>
      </c>
      <c r="BW54" s="73">
        <f>AK54/$BW$15</f>
        <v>0</v>
      </c>
      <c r="BX54" s="73">
        <f>AM54/$BX$15</f>
        <v>0</v>
      </c>
      <c r="BY54" s="73">
        <f>(Q54-K54-AC54-AE54-AG54-AI54-AK54-AM54)/$BY$15</f>
        <v>0</v>
      </c>
      <c r="BZ54" s="74">
        <f t="shared" si="96"/>
        <v>216.64616092971636</v>
      </c>
      <c r="CB54" s="75">
        <f t="shared" si="4"/>
        <v>216.64616092971636</v>
      </c>
      <c r="CJ54" s="70">
        <f t="shared" si="5"/>
        <v>0</v>
      </c>
      <c r="CK54" s="166"/>
      <c r="CL54" s="163"/>
      <c r="CM54" s="68"/>
      <c r="CN54" s="20">
        <v>224.917</v>
      </c>
      <c r="CQ54" s="177">
        <f t="shared" si="17"/>
        <v>185.3</v>
      </c>
      <c r="CR54" s="177">
        <f t="shared" si="18"/>
        <v>-39.599999999999994</v>
      </c>
    </row>
    <row r="55" spans="1:96" ht="56.25" x14ac:dyDescent="0.3">
      <c r="B55" s="56" t="s">
        <v>63</v>
      </c>
      <c r="C55" s="57" t="s">
        <v>64</v>
      </c>
      <c r="D55" s="32" t="s">
        <v>129</v>
      </c>
      <c r="E55" s="32"/>
      <c r="F55" s="32"/>
      <c r="G55" s="33"/>
      <c r="H55" s="33"/>
      <c r="I55" s="34" t="s">
        <v>131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f t="shared" ref="AA55:AA106" si="98">Q55-(K55+AC55+AE55)</f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f>SUM(AE55+AG55+AI55+AK55+AM55)</f>
        <v>0</v>
      </c>
      <c r="AP55" s="99" t="s">
        <v>131</v>
      </c>
      <c r="AQ55" s="86"/>
      <c r="AR55" s="85">
        <f t="shared" si="8"/>
        <v>0</v>
      </c>
      <c r="AS55" s="85">
        <f t="shared" si="9"/>
        <v>0</v>
      </c>
      <c r="AT55" s="113"/>
      <c r="AV55" s="105">
        <f t="shared" si="40"/>
        <v>0</v>
      </c>
      <c r="AX55" s="31"/>
      <c r="AY55" s="15"/>
      <c r="AZ55" s="118">
        <v>0</v>
      </c>
      <c r="BA55" s="118">
        <v>0</v>
      </c>
      <c r="BB55" s="118">
        <v>0</v>
      </c>
      <c r="BC55" s="118">
        <v>0</v>
      </c>
      <c r="BD55" s="8"/>
      <c r="BE55" s="118">
        <f t="shared" si="11"/>
        <v>0</v>
      </c>
      <c r="BF55" s="118">
        <f t="shared" si="12"/>
        <v>0</v>
      </c>
      <c r="BG55" s="118">
        <f t="shared" si="13"/>
        <v>0</v>
      </c>
      <c r="BH55" s="118">
        <f t="shared" si="14"/>
        <v>0</v>
      </c>
      <c r="BI55" s="122">
        <f t="shared" si="15"/>
        <v>0</v>
      </c>
      <c r="BJ55" s="123"/>
      <c r="BK55" s="108"/>
      <c r="BM55" s="128">
        <f t="shared" si="2"/>
        <v>0</v>
      </c>
      <c r="BN55" s="129">
        <f t="shared" si="3"/>
        <v>0</v>
      </c>
      <c r="CB55" s="75">
        <f t="shared" si="4"/>
        <v>0</v>
      </c>
      <c r="CJ55" s="70">
        <f t="shared" si="5"/>
        <v>0</v>
      </c>
      <c r="CL55" s="163"/>
      <c r="CM55" s="68"/>
      <c r="CN55" s="32">
        <v>0</v>
      </c>
      <c r="CQ55" s="177">
        <f t="shared" si="17"/>
        <v>0</v>
      </c>
      <c r="CR55" s="177">
        <f t="shared" si="18"/>
        <v>0</v>
      </c>
    </row>
    <row r="56" spans="1:96" ht="37.5" x14ac:dyDescent="0.3">
      <c r="B56" s="52" t="s">
        <v>65</v>
      </c>
      <c r="C56" s="53" t="s">
        <v>66</v>
      </c>
      <c r="D56" s="23" t="s">
        <v>129</v>
      </c>
      <c r="E56" s="23"/>
      <c r="F56" s="23"/>
      <c r="G56" s="24"/>
      <c r="H56" s="24"/>
      <c r="I56" s="25" t="s">
        <v>131</v>
      </c>
      <c r="J56" s="23">
        <f t="shared" ref="J56:Z56" si="99">J57+J105+J141+J162</f>
        <v>5781.2229890702292</v>
      </c>
      <c r="K56" s="23">
        <f t="shared" si="99"/>
        <v>994.67</v>
      </c>
      <c r="L56" s="23">
        <f t="shared" si="99"/>
        <v>31613.672782823865</v>
      </c>
      <c r="M56" s="23">
        <f t="shared" si="99"/>
        <v>2157.0241443620744</v>
      </c>
      <c r="N56" s="23">
        <f t="shared" si="99"/>
        <v>17586.079618693002</v>
      </c>
      <c r="O56" s="23">
        <f t="shared" si="99"/>
        <v>9647.4055992585727</v>
      </c>
      <c r="P56" s="23">
        <f t="shared" si="99"/>
        <v>2223.0384205102196</v>
      </c>
      <c r="Q56" s="23">
        <f t="shared" si="99"/>
        <v>33804.170924850398</v>
      </c>
      <c r="R56" s="23">
        <f t="shared" si="99"/>
        <v>2333.5434311750455</v>
      </c>
      <c r="S56" s="23">
        <f t="shared" si="99"/>
        <v>18894.557065527955</v>
      </c>
      <c r="T56" s="23">
        <f t="shared" si="99"/>
        <v>10163.309597062474</v>
      </c>
      <c r="U56" s="23">
        <f t="shared" si="99"/>
        <v>2412.76083108492</v>
      </c>
      <c r="V56" s="23">
        <f t="shared" si="99"/>
        <v>0</v>
      </c>
      <c r="W56" s="23">
        <f t="shared" si="99"/>
        <v>30619.002782823867</v>
      </c>
      <c r="X56" s="23">
        <f t="shared" si="99"/>
        <v>0</v>
      </c>
      <c r="Y56" s="23">
        <f t="shared" si="99"/>
        <v>17937.097400323924</v>
      </c>
      <c r="Z56" s="23">
        <f t="shared" si="99"/>
        <v>0</v>
      </c>
      <c r="AA56" s="23">
        <f t="shared" si="98"/>
        <v>26189.507035780167</v>
      </c>
      <c r="AB56" s="23">
        <f t="shared" ref="AB56:AN56" si="100">AB57+AB105+AB141+AB162</f>
        <v>1292.9451000000001</v>
      </c>
      <c r="AC56" s="23">
        <f t="shared" si="100"/>
        <v>1292.9450000000002</v>
      </c>
      <c r="AD56" s="23">
        <f t="shared" si="100"/>
        <v>6423.7599999999993</v>
      </c>
      <c r="AE56" s="23">
        <f t="shared" si="100"/>
        <v>5327.0488890702291</v>
      </c>
      <c r="AF56" s="23">
        <f t="shared" si="100"/>
        <v>4965.2002824999427</v>
      </c>
      <c r="AG56" s="23">
        <f t="shared" si="100"/>
        <v>5716.3853200000003</v>
      </c>
      <c r="AH56" s="23">
        <f t="shared" si="100"/>
        <v>6921.4678929836109</v>
      </c>
      <c r="AI56" s="23">
        <f t="shared" si="100"/>
        <v>4644.6582799999996</v>
      </c>
      <c r="AJ56" s="23">
        <f t="shared" si="100"/>
        <v>5577.5883543919463</v>
      </c>
      <c r="AK56" s="23">
        <f t="shared" si="100"/>
        <v>6765.5266376664831</v>
      </c>
      <c r="AL56" s="23">
        <f t="shared" si="100"/>
        <v>5440.4314630283407</v>
      </c>
      <c r="AM56" s="23">
        <f t="shared" si="100"/>
        <v>5545.9156281136866</v>
      </c>
      <c r="AN56" s="23">
        <f t="shared" si="100"/>
        <v>28318.84799290384</v>
      </c>
      <c r="AO56" s="23">
        <f>SUM(AE56+AG56+AI56+AK56+AM56)</f>
        <v>27999.5347548504</v>
      </c>
      <c r="AP56" s="97" t="s">
        <v>131</v>
      </c>
      <c r="AQ56" s="86"/>
      <c r="AR56" s="85">
        <f t="shared" si="8"/>
        <v>-2.3903100799725507</v>
      </c>
      <c r="AS56" s="85">
        <f t="shared" si="9"/>
        <v>3517.02117</v>
      </c>
      <c r="AT56" s="113"/>
      <c r="AV56" s="105">
        <f t="shared" si="40"/>
        <v>3517.0211699999991</v>
      </c>
      <c r="AX56" s="31"/>
      <c r="AY56" s="15"/>
      <c r="AZ56" s="118">
        <v>5716.3853200000003</v>
      </c>
      <c r="BA56" s="118">
        <v>4249.9282300000004</v>
      </c>
      <c r="BB56" s="118">
        <v>6989.3268051599998</v>
      </c>
      <c r="BC56" s="118">
        <v>5774.6010309639159</v>
      </c>
      <c r="BD56" s="8"/>
      <c r="BE56" s="118">
        <f t="shared" si="11"/>
        <v>0</v>
      </c>
      <c r="BF56" s="118">
        <f t="shared" si="12"/>
        <v>394.73004999999921</v>
      </c>
      <c r="BG56" s="118">
        <f t="shared" si="13"/>
        <v>-223.80016749351671</v>
      </c>
      <c r="BH56" s="118">
        <f t="shared" si="14"/>
        <v>-228.68540285022937</v>
      </c>
      <c r="BI56" s="122">
        <f t="shared" si="15"/>
        <v>-57.755520343746866</v>
      </c>
      <c r="BJ56" s="123"/>
      <c r="BK56" s="108"/>
      <c r="BM56" s="128">
        <f t="shared" si="2"/>
        <v>30287.149754850398</v>
      </c>
      <c r="BN56" s="129">
        <f t="shared" si="3"/>
        <v>-3517.02117</v>
      </c>
      <c r="CB56" s="75">
        <f t="shared" si="4"/>
        <v>33950.780862673855</v>
      </c>
      <c r="CJ56" s="70">
        <f t="shared" si="5"/>
        <v>0</v>
      </c>
      <c r="CL56" s="163"/>
      <c r="CM56" s="68"/>
      <c r="CN56" s="23">
        <f>CN57+CN105+CN141+CN162</f>
        <v>6423.6869999999999</v>
      </c>
      <c r="CQ56" s="177">
        <f t="shared" si="17"/>
        <v>28982.921919474131</v>
      </c>
      <c r="CR56" s="177">
        <f t="shared" si="18"/>
        <v>664.0739265702905</v>
      </c>
    </row>
    <row r="57" spans="1:96" ht="56.25" x14ac:dyDescent="0.3">
      <c r="B57" s="54" t="s">
        <v>67</v>
      </c>
      <c r="C57" s="55" t="s">
        <v>68</v>
      </c>
      <c r="D57" s="35" t="s">
        <v>129</v>
      </c>
      <c r="E57" s="35"/>
      <c r="F57" s="35"/>
      <c r="G57" s="36"/>
      <c r="H57" s="36"/>
      <c r="I57" s="37" t="s">
        <v>131</v>
      </c>
      <c r="J57" s="35">
        <f t="shared" ref="J57:Z57" si="101">J58+J59</f>
        <v>3923.3539000000001</v>
      </c>
      <c r="K57" s="35">
        <f t="shared" si="101"/>
        <v>994.67</v>
      </c>
      <c r="L57" s="35">
        <f t="shared" si="101"/>
        <v>10086.321100000001</v>
      </c>
      <c r="M57" s="35">
        <f t="shared" si="101"/>
        <v>534.99828799999989</v>
      </c>
      <c r="N57" s="35">
        <f t="shared" si="101"/>
        <v>3311.1635679999995</v>
      </c>
      <c r="O57" s="35">
        <f t="shared" si="101"/>
        <v>5490.0152480000015</v>
      </c>
      <c r="P57" s="35">
        <f t="shared" si="101"/>
        <v>750.01899600000024</v>
      </c>
      <c r="Q57" s="35">
        <f t="shared" si="101"/>
        <v>11777.525869999998</v>
      </c>
      <c r="R57" s="35">
        <f t="shared" si="101"/>
        <v>684.27028649999977</v>
      </c>
      <c r="S57" s="35">
        <f t="shared" si="101"/>
        <v>3955.1953904999996</v>
      </c>
      <c r="T57" s="35">
        <f t="shared" si="101"/>
        <v>6247.6766547999987</v>
      </c>
      <c r="U57" s="35">
        <f t="shared" si="101"/>
        <v>890.38353819999998</v>
      </c>
      <c r="V57" s="35">
        <f t="shared" si="101"/>
        <v>0</v>
      </c>
      <c r="W57" s="35">
        <f t="shared" si="101"/>
        <v>9091.651100000001</v>
      </c>
      <c r="X57" s="35">
        <f t="shared" si="101"/>
        <v>0</v>
      </c>
      <c r="Y57" s="35">
        <f t="shared" si="101"/>
        <v>5052.3387999999986</v>
      </c>
      <c r="Z57" s="35">
        <f t="shared" si="101"/>
        <v>0</v>
      </c>
      <c r="AA57" s="35">
        <f t="shared" si="98"/>
        <v>8511.6351699999977</v>
      </c>
      <c r="AB57" s="35">
        <f t="shared" ref="AB57:AN57" si="102">AB58+AB59</f>
        <v>1270.7723000000001</v>
      </c>
      <c r="AC57" s="35">
        <f t="shared" si="102"/>
        <v>1270.7722000000001</v>
      </c>
      <c r="AD57" s="35">
        <f t="shared" si="102"/>
        <v>2125.3000000000002</v>
      </c>
      <c r="AE57" s="35">
        <f t="shared" si="102"/>
        <v>1000.4485</v>
      </c>
      <c r="AF57" s="35">
        <f t="shared" si="102"/>
        <v>643.24</v>
      </c>
      <c r="AG57" s="35">
        <f t="shared" si="102"/>
        <v>792.93910000000005</v>
      </c>
      <c r="AH57" s="35">
        <f t="shared" si="102"/>
        <v>1947.3</v>
      </c>
      <c r="AI57" s="35">
        <f t="shared" si="102"/>
        <v>689.75359999999978</v>
      </c>
      <c r="AJ57" s="35">
        <f t="shared" si="102"/>
        <v>1591.7</v>
      </c>
      <c r="AK57" s="35">
        <f t="shared" si="102"/>
        <v>2826.8100000000004</v>
      </c>
      <c r="AL57" s="35">
        <f t="shared" si="102"/>
        <v>1666.3</v>
      </c>
      <c r="AM57" s="35">
        <f t="shared" si="102"/>
        <v>1273.9299999999998</v>
      </c>
      <c r="AN57" s="35">
        <f t="shared" si="102"/>
        <v>6964.2400000000007</v>
      </c>
      <c r="AO57" s="35">
        <f>SUM(AE57+AG57+AI57+AK57+AM57)</f>
        <v>6583.8811999999998</v>
      </c>
      <c r="AP57" s="98" t="s">
        <v>131</v>
      </c>
      <c r="AQ57" s="86"/>
      <c r="AR57" s="85">
        <f t="shared" si="8"/>
        <v>-152.96119999999792</v>
      </c>
      <c r="AS57" s="85">
        <f t="shared" si="9"/>
        <v>2928.2024699999984</v>
      </c>
      <c r="AT57" s="113"/>
      <c r="AV57" s="105">
        <f t="shared" si="40"/>
        <v>2928.2024699999979</v>
      </c>
      <c r="AX57" s="31"/>
      <c r="AY57" s="15"/>
      <c r="AZ57" s="118">
        <v>792.93910000000005</v>
      </c>
      <c r="BA57" s="118">
        <v>866.15359999999987</v>
      </c>
      <c r="BB57" s="118">
        <v>2753.7853737799996</v>
      </c>
      <c r="BC57" s="118">
        <v>1591.0430699999997</v>
      </c>
      <c r="BD57" s="8"/>
      <c r="BE57" s="118">
        <f t="shared" si="11"/>
        <v>0</v>
      </c>
      <c r="BF57" s="118">
        <f t="shared" si="12"/>
        <v>-176.40000000000009</v>
      </c>
      <c r="BG57" s="118">
        <f t="shared" si="13"/>
        <v>73.024626220000755</v>
      </c>
      <c r="BH57" s="118">
        <f t="shared" si="14"/>
        <v>-317.11306999999988</v>
      </c>
      <c r="BI57" s="122">
        <f t="shared" si="15"/>
        <v>-420.48844377999922</v>
      </c>
      <c r="BJ57" s="123"/>
      <c r="BK57" s="108"/>
      <c r="BM57" s="128">
        <f t="shared" si="2"/>
        <v>8849.3233999999993</v>
      </c>
      <c r="BN57" s="129">
        <f t="shared" si="3"/>
        <v>-2928.2024699999984</v>
      </c>
      <c r="CB57" s="75">
        <f t="shared" si="4"/>
        <v>11763.872625113658</v>
      </c>
      <c r="CJ57" s="70">
        <f t="shared" si="5"/>
        <v>0</v>
      </c>
      <c r="CL57" s="163"/>
      <c r="CM57" s="68"/>
      <c r="CN57" s="35">
        <f t="shared" ref="CN57" si="103">CN58+CN59</f>
        <v>2125.34</v>
      </c>
      <c r="CQ57" s="177">
        <f t="shared" si="17"/>
        <v>6998.6876000000002</v>
      </c>
      <c r="CR57" s="177">
        <f t="shared" si="18"/>
        <v>34.447599999999511</v>
      </c>
    </row>
    <row r="58" spans="1:96" ht="20.25" x14ac:dyDescent="0.3">
      <c r="B58" s="56" t="s">
        <v>69</v>
      </c>
      <c r="C58" s="57" t="s">
        <v>70</v>
      </c>
      <c r="D58" s="32" t="s">
        <v>129</v>
      </c>
      <c r="E58" s="32"/>
      <c r="F58" s="32"/>
      <c r="G58" s="33"/>
      <c r="H58" s="33"/>
      <c r="I58" s="34" t="s">
        <v>131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f t="shared" si="98"/>
        <v>0</v>
      </c>
      <c r="AB58" s="32"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f>SUM(AE58+AG58+AI58+AK58+AM58)</f>
        <v>0</v>
      </c>
      <c r="AP58" s="99" t="s">
        <v>131</v>
      </c>
      <c r="AQ58" s="86"/>
      <c r="AR58" s="85">
        <f t="shared" si="8"/>
        <v>0</v>
      </c>
      <c r="AS58" s="85">
        <f t="shared" si="9"/>
        <v>0</v>
      </c>
      <c r="AT58" s="113"/>
      <c r="AV58" s="105">
        <f t="shared" si="40"/>
        <v>0</v>
      </c>
      <c r="AX58" s="31"/>
      <c r="AY58" s="15"/>
      <c r="AZ58" s="118">
        <v>0</v>
      </c>
      <c r="BA58" s="118">
        <v>0</v>
      </c>
      <c r="BB58" s="118">
        <v>0</v>
      </c>
      <c r="BC58" s="118">
        <v>0</v>
      </c>
      <c r="BD58" s="8"/>
      <c r="BE58" s="118">
        <f t="shared" si="11"/>
        <v>0</v>
      </c>
      <c r="BF58" s="118">
        <f t="shared" si="12"/>
        <v>0</v>
      </c>
      <c r="BG58" s="118">
        <f t="shared" si="13"/>
        <v>0</v>
      </c>
      <c r="BH58" s="118">
        <f t="shared" si="14"/>
        <v>0</v>
      </c>
      <c r="BI58" s="122">
        <f t="shared" si="15"/>
        <v>0</v>
      </c>
      <c r="BJ58" s="123"/>
      <c r="BK58" s="108"/>
      <c r="BM58" s="128">
        <f t="shared" si="2"/>
        <v>0</v>
      </c>
      <c r="BN58" s="129">
        <f t="shared" si="3"/>
        <v>0</v>
      </c>
      <c r="CB58" s="75">
        <f t="shared" si="4"/>
        <v>0</v>
      </c>
      <c r="CJ58" s="70">
        <f t="shared" si="5"/>
        <v>0</v>
      </c>
      <c r="CL58" s="163"/>
      <c r="CM58" s="68"/>
      <c r="CN58" s="32">
        <v>0</v>
      </c>
      <c r="CQ58" s="177">
        <f t="shared" si="17"/>
        <v>0</v>
      </c>
      <c r="CR58" s="177">
        <f t="shared" si="18"/>
        <v>0</v>
      </c>
    </row>
    <row r="59" spans="1:96" ht="37.5" x14ac:dyDescent="0.3">
      <c r="B59" s="56" t="s">
        <v>71</v>
      </c>
      <c r="C59" s="57" t="s">
        <v>72</v>
      </c>
      <c r="D59" s="32" t="s">
        <v>129</v>
      </c>
      <c r="E59" s="32"/>
      <c r="F59" s="32"/>
      <c r="G59" s="33"/>
      <c r="H59" s="33"/>
      <c r="I59" s="34" t="s">
        <v>131</v>
      </c>
      <c r="J59" s="32">
        <f>SUM(J60:J104)</f>
        <v>3923.3539000000001</v>
      </c>
      <c r="K59" s="32">
        <f t="shared" ref="K59:Z59" si="104">SUM(K60:K104)</f>
        <v>994.67</v>
      </c>
      <c r="L59" s="32">
        <f t="shared" si="104"/>
        <v>10086.321100000001</v>
      </c>
      <c r="M59" s="32">
        <f t="shared" si="104"/>
        <v>534.99828799999989</v>
      </c>
      <c r="N59" s="32">
        <f t="shared" si="104"/>
        <v>3311.1635679999995</v>
      </c>
      <c r="O59" s="32">
        <f t="shared" si="104"/>
        <v>5490.0152480000015</v>
      </c>
      <c r="P59" s="32">
        <f t="shared" si="104"/>
        <v>750.01899600000024</v>
      </c>
      <c r="Q59" s="32">
        <f t="shared" si="104"/>
        <v>11777.525869999998</v>
      </c>
      <c r="R59" s="32">
        <f t="shared" si="104"/>
        <v>684.27028649999977</v>
      </c>
      <c r="S59" s="32">
        <f t="shared" si="104"/>
        <v>3955.1953904999996</v>
      </c>
      <c r="T59" s="32">
        <f t="shared" si="104"/>
        <v>6247.6766547999987</v>
      </c>
      <c r="U59" s="32">
        <f t="shared" si="104"/>
        <v>890.38353819999998</v>
      </c>
      <c r="V59" s="32">
        <f t="shared" si="104"/>
        <v>0</v>
      </c>
      <c r="W59" s="32">
        <f t="shared" si="104"/>
        <v>9091.651100000001</v>
      </c>
      <c r="X59" s="32">
        <f t="shared" si="104"/>
        <v>0</v>
      </c>
      <c r="Y59" s="32">
        <f t="shared" si="104"/>
        <v>5052.3387999999986</v>
      </c>
      <c r="Z59" s="32">
        <f t="shared" si="104"/>
        <v>0</v>
      </c>
      <c r="AA59" s="32">
        <f t="shared" si="98"/>
        <v>8511.6351699999977</v>
      </c>
      <c r="AB59" s="32">
        <f t="shared" ref="AB59:AP59" si="105">SUM(AB60:AB104)</f>
        <v>1270.7723000000001</v>
      </c>
      <c r="AC59" s="32">
        <f t="shared" si="105"/>
        <v>1270.7722000000001</v>
      </c>
      <c r="AD59" s="32">
        <f t="shared" si="105"/>
        <v>2125.3000000000002</v>
      </c>
      <c r="AE59" s="32">
        <f t="shared" si="105"/>
        <v>1000.4485</v>
      </c>
      <c r="AF59" s="32">
        <f t="shared" si="105"/>
        <v>643.24</v>
      </c>
      <c r="AG59" s="32">
        <f t="shared" si="105"/>
        <v>792.93910000000005</v>
      </c>
      <c r="AH59" s="32">
        <f t="shared" si="105"/>
        <v>1947.3</v>
      </c>
      <c r="AI59" s="32">
        <f t="shared" si="105"/>
        <v>689.75359999999978</v>
      </c>
      <c r="AJ59" s="32">
        <f t="shared" si="105"/>
        <v>1591.7</v>
      </c>
      <c r="AK59" s="32">
        <f t="shared" si="105"/>
        <v>2826.8100000000004</v>
      </c>
      <c r="AL59" s="32">
        <f t="shared" si="105"/>
        <v>1666.3</v>
      </c>
      <c r="AM59" s="32">
        <f t="shared" si="105"/>
        <v>1273.9299999999998</v>
      </c>
      <c r="AN59" s="32">
        <f t="shared" si="105"/>
        <v>6964.2400000000007</v>
      </c>
      <c r="AO59" s="32">
        <f t="shared" si="105"/>
        <v>6583.8812000000007</v>
      </c>
      <c r="AP59" s="99">
        <f t="shared" si="105"/>
        <v>0</v>
      </c>
      <c r="AQ59" s="86"/>
      <c r="AR59" s="85">
        <f t="shared" si="8"/>
        <v>-152.96119999999792</v>
      </c>
      <c r="AS59" s="85">
        <f t="shared" si="9"/>
        <v>2928.2024699999984</v>
      </c>
      <c r="AT59" s="113"/>
      <c r="AV59" s="105">
        <f t="shared" si="40"/>
        <v>2928.2024699999979</v>
      </c>
      <c r="AX59" s="31"/>
      <c r="AY59" s="15"/>
      <c r="AZ59" s="118">
        <v>792.93910000000005</v>
      </c>
      <c r="BA59" s="118">
        <v>866.15359999999987</v>
      </c>
      <c r="BB59" s="118">
        <v>2753.7853737799996</v>
      </c>
      <c r="BC59" s="118">
        <v>1591.0430699999997</v>
      </c>
      <c r="BD59" s="8"/>
      <c r="BE59" s="118">
        <f t="shared" si="11"/>
        <v>0</v>
      </c>
      <c r="BF59" s="118">
        <f t="shared" si="12"/>
        <v>-176.40000000000009</v>
      </c>
      <c r="BG59" s="118">
        <f t="shared" si="13"/>
        <v>73.024626220000755</v>
      </c>
      <c r="BH59" s="118">
        <f t="shared" si="14"/>
        <v>-317.11306999999988</v>
      </c>
      <c r="BI59" s="122">
        <f t="shared" si="15"/>
        <v>-420.48844377999922</v>
      </c>
      <c r="BJ59" s="123"/>
      <c r="BK59" s="108"/>
      <c r="BM59" s="128">
        <f t="shared" si="2"/>
        <v>8849.3233999999993</v>
      </c>
      <c r="BN59" s="129">
        <f t="shared" si="3"/>
        <v>-2928.2024699999984</v>
      </c>
      <c r="CB59" s="75">
        <f t="shared" si="4"/>
        <v>11763.872625113658</v>
      </c>
      <c r="CJ59" s="70">
        <f t="shared" si="5"/>
        <v>0</v>
      </c>
      <c r="CL59" s="163"/>
      <c r="CM59" s="68"/>
      <c r="CN59" s="32">
        <f t="shared" ref="CN59" si="106">SUM(CN60:CN104)</f>
        <v>2125.34</v>
      </c>
      <c r="CQ59" s="177">
        <f t="shared" si="17"/>
        <v>6998.6876000000002</v>
      </c>
      <c r="CR59" s="177">
        <f t="shared" si="18"/>
        <v>34.447599999999511</v>
      </c>
    </row>
    <row r="60" spans="1:96" ht="356.25" x14ac:dyDescent="0.3">
      <c r="A60" s="44" t="s">
        <v>525</v>
      </c>
      <c r="B60" s="51" t="s">
        <v>71</v>
      </c>
      <c r="C60" s="76" t="s">
        <v>595</v>
      </c>
      <c r="D60" s="20" t="s">
        <v>301</v>
      </c>
      <c r="E60" s="140" t="s">
        <v>130</v>
      </c>
      <c r="F60" s="21">
        <f t="shared" ref="F60:F104" si="107">IF(K60&gt;0,2018,IF(AC60&gt;0,2019,IF(AE60&gt;0,2020,IF(AG60&gt;0,2021,IF(AI60&gt;0,2022,IF(AK60&gt;0,2023,IF(AM60&gt;0,2024,"нд")))))))</f>
        <v>2021</v>
      </c>
      <c r="G60" s="46">
        <f t="shared" ref="G60:G104" si="108">IF(AND(L60-(K60+AB60+AD60+AF60+AH60+AJ60+AL60)&lt;0.1,L60-(K60+AB60+AD60+AF60+AH60+AJ60+AL60)&gt;0.00001),"Ошибка в -",IF((K60+AB60+AD60+AF60+AH60+AJ60+AL60)&gt;L60,"Ошибка в +",IF(L60&gt;(K60+AB60+AD60+AF60+AH60+AJ60+AL60),2025,IF(AL60&gt;0,2024,IF(AJ60&gt;0,2023,IF(AH60&gt;0,2022,IF(AF60&gt;0,2021,IF(AD60&gt;0,2020,IF(AB60&gt;0,2019,IF(K60&gt;0,2018,"нд"))))))))))</f>
        <v>2025</v>
      </c>
      <c r="H60" s="46">
        <f t="shared" ref="H60:H104" si="109">IF(AND((Q60-(K60+AC60+AE60+AG60+AI60+AK60+AM60))&lt;0.1,Q60-(K60+AC60+AE60+AG60+AI60+AK60+AM60)&gt;0.0001),"Ошибка в -",IF((K60+AC60+AE60+AG60+AI60+AK60+AM60)&gt;Q60,"Ошибка в +",IF(Q60&gt;(K60+AC60+AE60+AG60+AI60+AK60+AM60),2025,IF(AM60&gt;0,2024,IF(AK60&gt;0,2023,IF(AI60&gt;0,2022,IF(AG60&gt;0,2021,IF(AE60&gt;0,2020,IF(AC60&gt;0,2019,IF(K60&gt;0,2018,"нд"))))))))))</f>
        <v>2025</v>
      </c>
      <c r="I60" s="22" t="s">
        <v>131</v>
      </c>
      <c r="J60" s="20" t="s">
        <v>131</v>
      </c>
      <c r="K60" s="20">
        <v>0</v>
      </c>
      <c r="L60" s="20">
        <f t="shared" ref="L60:L104" si="110">M60+N60+O60+P60</f>
        <v>2700</v>
      </c>
      <c r="M60" s="20">
        <v>162</v>
      </c>
      <c r="N60" s="20">
        <v>972</v>
      </c>
      <c r="O60" s="20">
        <v>1350</v>
      </c>
      <c r="P60" s="20">
        <v>216</v>
      </c>
      <c r="Q60" s="20">
        <v>2779</v>
      </c>
      <c r="R60" s="20">
        <f>0.06*Q60</f>
        <v>166.73999999999998</v>
      </c>
      <c r="S60" s="20">
        <f>0.36*Q60</f>
        <v>1000.4399999999999</v>
      </c>
      <c r="T60" s="20">
        <f>0.5*Q60</f>
        <v>1389.5</v>
      </c>
      <c r="U60" s="20">
        <f>0.08*Q60</f>
        <v>222.32</v>
      </c>
      <c r="V60" s="20">
        <v>0</v>
      </c>
      <c r="W60" s="20">
        <f t="shared" ref="W60:W104" si="111">L60-K60</f>
        <v>2700</v>
      </c>
      <c r="X60" s="20"/>
      <c r="Y60" s="20">
        <f>W60-(AB60+AD60+AF60)</f>
        <v>2482.9</v>
      </c>
      <c r="Z60" s="20"/>
      <c r="AA60" s="20">
        <f>Q60-(K60+AC60+AE60+AG60)</f>
        <v>2778.7237</v>
      </c>
      <c r="AB60" s="20">
        <v>0</v>
      </c>
      <c r="AC60" s="20">
        <v>0</v>
      </c>
      <c r="AD60" s="174">
        <v>217.1</v>
      </c>
      <c r="AE60" s="20">
        <v>0</v>
      </c>
      <c r="AF60" s="20"/>
      <c r="AG60" s="20">
        <v>0.27630000000000005</v>
      </c>
      <c r="AH60" s="20">
        <v>531.29999999999995</v>
      </c>
      <c r="AI60" s="20">
        <v>50.59</v>
      </c>
      <c r="AJ60" s="20">
        <v>919.4</v>
      </c>
      <c r="AK60" s="20">
        <v>1119.6300000000001</v>
      </c>
      <c r="AL60" s="20">
        <v>756.3</v>
      </c>
      <c r="AM60" s="20">
        <v>773.93</v>
      </c>
      <c r="AN60" s="20">
        <f t="shared" ref="AN60:AO104" si="112">SUM(AD60+AF60+AH60+AJ60+AL60)</f>
        <v>2424.1</v>
      </c>
      <c r="AO60" s="20">
        <f t="shared" ref="AO60:AO104" si="113">SUM(AE60+AG60+AI60+AK60+AM60)</f>
        <v>1944.4263000000001</v>
      </c>
      <c r="AP60" s="94" t="s">
        <v>566</v>
      </c>
      <c r="AQ60" s="86"/>
      <c r="AR60" s="85">
        <f t="shared" si="8"/>
        <v>275.90000000000009</v>
      </c>
      <c r="AS60" s="85">
        <f t="shared" si="9"/>
        <v>834.57369999999992</v>
      </c>
      <c r="AT60" s="22">
        <f t="shared" si="39"/>
        <v>79</v>
      </c>
      <c r="AV60" s="105">
        <f t="shared" si="40"/>
        <v>834.5736999999998</v>
      </c>
      <c r="AX60" s="31"/>
      <c r="AY60" s="15"/>
      <c r="AZ60" s="118">
        <v>0.27630000000000005</v>
      </c>
      <c r="BA60" s="118">
        <v>50.59</v>
      </c>
      <c r="BB60" s="118">
        <v>1094.1379999999999</v>
      </c>
      <c r="BC60" s="118">
        <v>773.93</v>
      </c>
      <c r="BD60" s="8"/>
      <c r="BE60" s="118">
        <f t="shared" si="11"/>
        <v>0</v>
      </c>
      <c r="BF60" s="118">
        <f t="shared" si="12"/>
        <v>0</v>
      </c>
      <c r="BG60" s="118">
        <f t="shared" si="13"/>
        <v>25.492000000000189</v>
      </c>
      <c r="BH60" s="118">
        <f t="shared" si="14"/>
        <v>0</v>
      </c>
      <c r="BI60" s="122">
        <f t="shared" si="15"/>
        <v>25.492000000000189</v>
      </c>
      <c r="BJ60" s="125">
        <f t="shared" ref="BJ60:BJ104" si="114">(AO60+AC60+K60)-Q60</f>
        <v>-834.57369999999992</v>
      </c>
      <c r="BK60" s="108">
        <v>2025</v>
      </c>
      <c r="BL60" s="8" t="b">
        <f t="shared" ref="BL60:BL104" si="115">EXACT(BK60,H60)</f>
        <v>1</v>
      </c>
      <c r="BM60" s="128">
        <f t="shared" si="2"/>
        <v>1944.4263000000001</v>
      </c>
      <c r="BN60" s="129">
        <f t="shared" si="3"/>
        <v>-834.57369999999992</v>
      </c>
      <c r="BR60" s="73">
        <f t="shared" ref="BR60:BR81" si="116">K60/$BR$15</f>
        <v>0</v>
      </c>
      <c r="BS60" s="73">
        <f t="shared" ref="BS60:BS81" si="117">AC60/$BS$15</f>
        <v>0</v>
      </c>
      <c r="BT60" s="73">
        <f t="shared" ref="BT60:BT81" si="118">AE60/$BT$15</f>
        <v>0</v>
      </c>
      <c r="BU60" s="73">
        <f t="shared" ref="BU60:BU81" si="119">AG60/$BU$15</f>
        <v>0.24190765932344038</v>
      </c>
      <c r="BV60" s="73">
        <f t="shared" ref="BV60:BV81" si="120">AI60/$BV$15</f>
        <v>42.458593726761833</v>
      </c>
      <c r="BW60" s="73">
        <f t="shared" ref="BW60:BW81" si="121">AK60/$BW$15</f>
        <v>900.15266572010592</v>
      </c>
      <c r="BX60" s="73">
        <f t="shared" ref="BX60:BX81" si="122">AM60/$BX$15</f>
        <v>595.82370826802025</v>
      </c>
      <c r="BY60" s="73">
        <f t="shared" ref="BY60:BY81" si="123">(Q60-K60-AC60-AE60-AG60-AI60-AK60-AM60)/$BY$15</f>
        <v>615.25513398642079</v>
      </c>
      <c r="BZ60" s="74">
        <f t="shared" ref="BZ60:BZ104" si="124">SUM(BR60:BY60)*1.2</f>
        <v>2584.7184112327582</v>
      </c>
      <c r="CB60" s="75">
        <f t="shared" si="4"/>
        <v>2584.7184112327591</v>
      </c>
      <c r="CE60" s="8"/>
      <c r="CJ60" s="70">
        <f t="shared" si="5"/>
        <v>0</v>
      </c>
      <c r="CK60" s="161"/>
      <c r="CL60" s="163"/>
      <c r="CM60" s="68"/>
      <c r="CN60" s="20">
        <v>217.1</v>
      </c>
      <c r="CQ60" s="177">
        <f t="shared" si="17"/>
        <v>2207.2762999999995</v>
      </c>
      <c r="CR60" s="177">
        <f t="shared" si="18"/>
        <v>-216.82370000000037</v>
      </c>
    </row>
    <row r="61" spans="1:96" s="8" customFormat="1" ht="150" x14ac:dyDescent="0.3">
      <c r="A61" s="44" t="s">
        <v>525</v>
      </c>
      <c r="B61" s="51" t="s">
        <v>71</v>
      </c>
      <c r="C61" s="76" t="s">
        <v>596</v>
      </c>
      <c r="D61" s="20" t="s">
        <v>299</v>
      </c>
      <c r="E61" s="140" t="s">
        <v>130</v>
      </c>
      <c r="F61" s="21">
        <f t="shared" si="107"/>
        <v>2020</v>
      </c>
      <c r="G61" s="46" t="str">
        <f t="shared" si="108"/>
        <v>Ошибка в +</v>
      </c>
      <c r="H61" s="46">
        <f t="shared" si="109"/>
        <v>2025</v>
      </c>
      <c r="I61" s="22" t="s">
        <v>131</v>
      </c>
      <c r="J61" s="20" t="s">
        <v>131</v>
      </c>
      <c r="K61" s="20">
        <v>0</v>
      </c>
      <c r="L61" s="20">
        <v>1432.5405000000001</v>
      </c>
      <c r="M61" s="20">
        <v>46.222999999999999</v>
      </c>
      <c r="N61" s="20">
        <v>530.75800000000004</v>
      </c>
      <c r="O61" s="20">
        <v>736.85500000000002</v>
      </c>
      <c r="P61" s="20">
        <v>118.614</v>
      </c>
      <c r="Q61" s="114">
        <v>3509.5459999999998</v>
      </c>
      <c r="R61" s="20">
        <f>0.06*Q61</f>
        <v>210.57275999999999</v>
      </c>
      <c r="S61" s="20">
        <f>0.36*Q61</f>
        <v>1263.4365599999999</v>
      </c>
      <c r="T61" s="20">
        <f>0.5*Q61</f>
        <v>1754.7729999999999</v>
      </c>
      <c r="U61" s="20">
        <f>0.08*Q61</f>
        <v>280.76367999999997</v>
      </c>
      <c r="V61" s="20">
        <v>0</v>
      </c>
      <c r="W61" s="20">
        <f t="shared" si="111"/>
        <v>1432.5405000000001</v>
      </c>
      <c r="X61" s="20"/>
      <c r="Y61" s="20">
        <f>W61-(AB61+AD61+AF61)</f>
        <v>784.84050000000002</v>
      </c>
      <c r="Z61" s="20"/>
      <c r="AA61" s="20">
        <f>Q61-(K61+AC61+AE61+AG61)</f>
        <v>3256.5102999999999</v>
      </c>
      <c r="AB61" s="20">
        <v>0</v>
      </c>
      <c r="AC61" s="20">
        <v>0</v>
      </c>
      <c r="AD61" s="174">
        <v>550.4</v>
      </c>
      <c r="AE61" s="20">
        <v>4.0500000000000001E-2</v>
      </c>
      <c r="AF61" s="20">
        <v>97.300000000000011</v>
      </c>
      <c r="AG61" s="20">
        <v>252.99520000000001</v>
      </c>
      <c r="AH61" s="20">
        <v>423</v>
      </c>
      <c r="AI61" s="20">
        <v>476.03</v>
      </c>
      <c r="AJ61" s="20">
        <v>450</v>
      </c>
      <c r="AK61" s="20">
        <v>819.97</v>
      </c>
      <c r="AL61" s="20">
        <v>462.2</v>
      </c>
      <c r="AM61" s="20">
        <v>500</v>
      </c>
      <c r="AN61" s="20">
        <v>1432.5</v>
      </c>
      <c r="AO61" s="20">
        <f>SUM(AE61+AG61+AI61+AK61+AM61)</f>
        <v>2049.0356999999999</v>
      </c>
      <c r="AP61" s="143" t="s">
        <v>583</v>
      </c>
      <c r="AQ61" s="86"/>
      <c r="AR61" s="114">
        <f t="shared" si="8"/>
        <v>-550.35950000000003</v>
      </c>
      <c r="AS61" s="114">
        <f t="shared" si="9"/>
        <v>1460.5102999999999</v>
      </c>
      <c r="AT61" s="22">
        <f t="shared" si="39"/>
        <v>2077.0054999999998</v>
      </c>
      <c r="AV61" s="105">
        <f t="shared" si="40"/>
        <v>1460.5103000000001</v>
      </c>
      <c r="AX61" s="31"/>
      <c r="AY61" s="15"/>
      <c r="AZ61" s="118">
        <v>252.99520000000001</v>
      </c>
      <c r="BA61" s="118">
        <v>476.03</v>
      </c>
      <c r="BB61" s="118">
        <v>789.98737377999998</v>
      </c>
      <c r="BC61" s="118">
        <v>500</v>
      </c>
      <c r="BE61" s="118">
        <f t="shared" si="11"/>
        <v>0</v>
      </c>
      <c r="BF61" s="118">
        <f t="shared" si="12"/>
        <v>0</v>
      </c>
      <c r="BG61" s="118">
        <f t="shared" si="13"/>
        <v>29.982626220000043</v>
      </c>
      <c r="BH61" s="118">
        <f t="shared" si="14"/>
        <v>0</v>
      </c>
      <c r="BI61" s="122">
        <f t="shared" si="15"/>
        <v>29.982626220000043</v>
      </c>
      <c r="BJ61" s="125">
        <f t="shared" si="114"/>
        <v>-1460.5102999999999</v>
      </c>
      <c r="BK61" s="44">
        <v>2025</v>
      </c>
      <c r="BL61" s="8" t="b">
        <f t="shared" si="115"/>
        <v>1</v>
      </c>
      <c r="BM61" s="128">
        <f t="shared" si="2"/>
        <v>2049.0356999999999</v>
      </c>
      <c r="BN61" s="129">
        <f t="shared" si="3"/>
        <v>-1460.5102999999999</v>
      </c>
      <c r="BR61" s="86">
        <f t="shared" si="116"/>
        <v>0</v>
      </c>
      <c r="BS61" s="86">
        <f t="shared" si="117"/>
        <v>0</v>
      </c>
      <c r="BT61" s="86">
        <f t="shared" si="118"/>
        <v>3.696141817874142E-2</v>
      </c>
      <c r="BU61" s="86">
        <f t="shared" si="119"/>
        <v>221.50371571504039</v>
      </c>
      <c r="BV61" s="86">
        <f t="shared" si="120"/>
        <v>399.51698698854386</v>
      </c>
      <c r="BW61" s="86">
        <f t="shared" si="121"/>
        <v>659.23401597895304</v>
      </c>
      <c r="BX61" s="86">
        <f t="shared" si="122"/>
        <v>384.9338494876929</v>
      </c>
      <c r="BY61" s="86">
        <f t="shared" si="123"/>
        <v>1076.701147322337</v>
      </c>
      <c r="BZ61" s="87">
        <f t="shared" si="124"/>
        <v>3290.3120122928949</v>
      </c>
      <c r="CB61" s="75">
        <f t="shared" si="4"/>
        <v>3290.3120122928954</v>
      </c>
      <c r="CJ61" s="70">
        <f t="shared" si="5"/>
        <v>0</v>
      </c>
      <c r="CK61" s="162"/>
      <c r="CL61" s="163"/>
      <c r="CM61" s="68"/>
      <c r="CN61" s="20">
        <v>550.4</v>
      </c>
      <c r="CQ61" s="177">
        <f t="shared" si="17"/>
        <v>1588.2357</v>
      </c>
      <c r="CR61" s="177">
        <f t="shared" si="18"/>
        <v>155.73569999999995</v>
      </c>
    </row>
    <row r="62" spans="1:96" s="8" customFormat="1" ht="75" x14ac:dyDescent="0.3">
      <c r="A62" s="44" t="s">
        <v>525</v>
      </c>
      <c r="B62" s="51" t="s">
        <v>71</v>
      </c>
      <c r="C62" s="76" t="s">
        <v>491</v>
      </c>
      <c r="D62" s="20" t="s">
        <v>303</v>
      </c>
      <c r="E62" s="27" t="s">
        <v>487</v>
      </c>
      <c r="F62" s="21">
        <f t="shared" si="107"/>
        <v>2018</v>
      </c>
      <c r="G62" s="46">
        <f t="shared" si="108"/>
        <v>2025</v>
      </c>
      <c r="H62" s="46">
        <f t="shared" si="109"/>
        <v>2020</v>
      </c>
      <c r="I62" s="22" t="s">
        <v>131</v>
      </c>
      <c r="J62" s="20">
        <f>Q62</f>
        <v>2856.0345000000002</v>
      </c>
      <c r="K62" s="20">
        <v>994.67</v>
      </c>
      <c r="L62" s="20">
        <v>2856.0345000000002</v>
      </c>
      <c r="M62" s="20">
        <v>171.35999999999999</v>
      </c>
      <c r="N62" s="20">
        <v>1028.1599999999999</v>
      </c>
      <c r="O62" s="20">
        <v>1428</v>
      </c>
      <c r="P62" s="20">
        <v>228.48000000000002</v>
      </c>
      <c r="Q62" s="20">
        <v>2856.0345000000002</v>
      </c>
      <c r="R62" s="20">
        <f>0.06*Q62</f>
        <v>171.36207000000002</v>
      </c>
      <c r="S62" s="20">
        <f>0.36*Q62</f>
        <v>1028.1724200000001</v>
      </c>
      <c r="T62" s="20">
        <f>0.5*Q62</f>
        <v>1428.0172500000001</v>
      </c>
      <c r="U62" s="20">
        <f>0.08*Q62</f>
        <v>228.48276000000001</v>
      </c>
      <c r="V62" s="20">
        <v>0</v>
      </c>
      <c r="W62" s="20">
        <f t="shared" si="111"/>
        <v>1861.3645000000001</v>
      </c>
      <c r="X62" s="20"/>
      <c r="Y62" s="20">
        <f>W62-(AB62+AD62+AF62)</f>
        <v>560.90000000000009</v>
      </c>
      <c r="Z62" s="20"/>
      <c r="AA62" s="20">
        <f>Q62-(K62+AC62+AE62+AG62)</f>
        <v>0</v>
      </c>
      <c r="AB62" s="20">
        <v>1266.9645</v>
      </c>
      <c r="AC62" s="20">
        <v>1266.9645</v>
      </c>
      <c r="AD62" s="174">
        <v>33.5</v>
      </c>
      <c r="AE62" s="20">
        <v>594.4</v>
      </c>
      <c r="AF62" s="20"/>
      <c r="AG62" s="20"/>
      <c r="AH62" s="20"/>
      <c r="AI62" s="20"/>
      <c r="AJ62" s="20"/>
      <c r="AK62" s="20"/>
      <c r="AL62" s="20"/>
      <c r="AM62" s="20"/>
      <c r="AN62" s="20">
        <f t="shared" si="112"/>
        <v>33.5</v>
      </c>
      <c r="AO62" s="20">
        <f t="shared" si="113"/>
        <v>594.4</v>
      </c>
      <c r="AP62" s="94"/>
      <c r="AQ62" s="86"/>
      <c r="AR62" s="85">
        <f t="shared" si="8"/>
        <v>560.90000000000009</v>
      </c>
      <c r="AS62" s="85">
        <f t="shared" si="9"/>
        <v>0</v>
      </c>
      <c r="AT62" s="22">
        <f t="shared" si="39"/>
        <v>0</v>
      </c>
      <c r="AV62" s="105">
        <f t="shared" si="40"/>
        <v>1.1368683772161603E-13</v>
      </c>
      <c r="AX62" s="31">
        <f t="shared" ref="AX62:AX66" si="125">J62-Q62</f>
        <v>0</v>
      </c>
      <c r="AY62" s="15"/>
      <c r="AZ62" s="118"/>
      <c r="BA62" s="118"/>
      <c r="BB62" s="118"/>
      <c r="BC62" s="118"/>
      <c r="BE62" s="118">
        <f t="shared" si="11"/>
        <v>0</v>
      </c>
      <c r="BF62" s="118">
        <f t="shared" si="12"/>
        <v>0</v>
      </c>
      <c r="BG62" s="118">
        <f t="shared" si="13"/>
        <v>0</v>
      </c>
      <c r="BH62" s="118">
        <f t="shared" si="14"/>
        <v>0</v>
      </c>
      <c r="BI62" s="122">
        <f t="shared" si="15"/>
        <v>0</v>
      </c>
      <c r="BJ62" s="118">
        <f t="shared" si="114"/>
        <v>0</v>
      </c>
      <c r="BK62" s="44">
        <v>2020</v>
      </c>
      <c r="BL62" s="8" t="b">
        <f t="shared" si="115"/>
        <v>1</v>
      </c>
      <c r="BM62" s="128">
        <f t="shared" si="2"/>
        <v>2856.0345000000002</v>
      </c>
      <c r="BN62" s="129">
        <f>BM62-Q62</f>
        <v>0</v>
      </c>
      <c r="BR62" s="86">
        <f t="shared" si="116"/>
        <v>994.67</v>
      </c>
      <c r="BS62" s="86">
        <f t="shared" si="117"/>
        <v>1206.6328571428571</v>
      </c>
      <c r="BT62" s="86">
        <f t="shared" si="118"/>
        <v>542.46585099861477</v>
      </c>
      <c r="BU62" s="86">
        <f t="shared" si="119"/>
        <v>0</v>
      </c>
      <c r="BV62" s="86">
        <f t="shared" si="120"/>
        <v>0</v>
      </c>
      <c r="BW62" s="86">
        <f t="shared" si="121"/>
        <v>0</v>
      </c>
      <c r="BX62" s="86">
        <f t="shared" si="122"/>
        <v>0</v>
      </c>
      <c r="BY62" s="86">
        <f t="shared" si="123"/>
        <v>8.3810945126722021E-14</v>
      </c>
      <c r="BZ62" s="87">
        <f t="shared" si="124"/>
        <v>3292.5224497697664</v>
      </c>
      <c r="CB62" s="75">
        <f t="shared" si="4"/>
        <v>3292.5224497697664</v>
      </c>
      <c r="CJ62" s="70">
        <f t="shared" si="5"/>
        <v>0</v>
      </c>
      <c r="CK62" s="166"/>
      <c r="CL62" s="163"/>
      <c r="CM62" s="68"/>
      <c r="CN62" s="20">
        <v>33.5</v>
      </c>
      <c r="CQ62" s="177">
        <f t="shared" si="17"/>
        <v>594.4</v>
      </c>
      <c r="CR62" s="177">
        <f t="shared" si="18"/>
        <v>560.9</v>
      </c>
    </row>
    <row r="63" spans="1:96" s="8" customFormat="1" ht="37.5" x14ac:dyDescent="0.3">
      <c r="A63" s="44" t="s">
        <v>525</v>
      </c>
      <c r="B63" s="51" t="s">
        <v>71</v>
      </c>
      <c r="C63" s="76" t="s">
        <v>492</v>
      </c>
      <c r="D63" s="20" t="s">
        <v>298</v>
      </c>
      <c r="E63" s="27" t="s">
        <v>487</v>
      </c>
      <c r="F63" s="21">
        <f t="shared" si="107"/>
        <v>2020</v>
      </c>
      <c r="G63" s="46" t="str">
        <f t="shared" si="108"/>
        <v>Ошибка в +</v>
      </c>
      <c r="H63" s="46">
        <f t="shared" si="109"/>
        <v>2020</v>
      </c>
      <c r="I63" s="22" t="s">
        <v>131</v>
      </c>
      <c r="J63" s="20">
        <f t="shared" ref="J63" si="126">Q63</f>
        <v>52.818800000000003</v>
      </c>
      <c r="K63" s="20">
        <v>0</v>
      </c>
      <c r="L63" s="20">
        <f t="shared" si="110"/>
        <v>52.818800000000003</v>
      </c>
      <c r="M63" s="20">
        <v>3.1691280000000002</v>
      </c>
      <c r="N63" s="20">
        <v>19.014768</v>
      </c>
      <c r="O63" s="20">
        <v>26.409400000000002</v>
      </c>
      <c r="P63" s="20">
        <v>4.2255039999999999</v>
      </c>
      <c r="Q63" s="20">
        <v>52.818800000000003</v>
      </c>
      <c r="R63" s="20">
        <f>0.06*Q63</f>
        <v>3.1691280000000002</v>
      </c>
      <c r="S63" s="20">
        <f>0.36*Q63</f>
        <v>19.014768</v>
      </c>
      <c r="T63" s="20">
        <f>0.5*Q63</f>
        <v>26.409400000000002</v>
      </c>
      <c r="U63" s="20">
        <f>0.08*Q63</f>
        <v>4.2255039999999999</v>
      </c>
      <c r="V63" s="20">
        <v>0</v>
      </c>
      <c r="W63" s="20">
        <f t="shared" si="111"/>
        <v>52.818800000000003</v>
      </c>
      <c r="X63" s="20"/>
      <c r="Y63" s="20">
        <f>W63-(AB63+AD63+AF63)</f>
        <v>-17.781199999999991</v>
      </c>
      <c r="Z63" s="28"/>
      <c r="AA63" s="20">
        <f>Q63-(K63+AC63+AE63+AG63)</f>
        <v>0</v>
      </c>
      <c r="AB63" s="20">
        <v>0</v>
      </c>
      <c r="AC63" s="20">
        <v>0</v>
      </c>
      <c r="AD63" s="174">
        <v>70.599999999999994</v>
      </c>
      <c r="AE63" s="20">
        <v>52.818800000000003</v>
      </c>
      <c r="AF63" s="20"/>
      <c r="AG63" s="20"/>
      <c r="AH63" s="20"/>
      <c r="AI63" s="20"/>
      <c r="AJ63" s="20"/>
      <c r="AK63" s="20"/>
      <c r="AL63" s="20"/>
      <c r="AM63" s="20"/>
      <c r="AN63" s="20">
        <f t="shared" si="112"/>
        <v>70.599999999999994</v>
      </c>
      <c r="AO63" s="20">
        <f t="shared" si="113"/>
        <v>52.818800000000003</v>
      </c>
      <c r="AP63" s="94"/>
      <c r="AQ63" s="86"/>
      <c r="AR63" s="85">
        <f t="shared" si="8"/>
        <v>-17.781199999999991</v>
      </c>
      <c r="AS63" s="85">
        <f t="shared" si="9"/>
        <v>0</v>
      </c>
      <c r="AT63" s="113">
        <f t="shared" si="39"/>
        <v>0</v>
      </c>
      <c r="AV63" s="105">
        <f t="shared" si="40"/>
        <v>0</v>
      </c>
      <c r="AX63" s="31">
        <f t="shared" si="125"/>
        <v>0</v>
      </c>
      <c r="AY63" s="15"/>
      <c r="AZ63" s="118"/>
      <c r="BA63" s="118"/>
      <c r="BB63" s="118"/>
      <c r="BC63" s="118"/>
      <c r="BE63" s="118">
        <f t="shared" si="11"/>
        <v>0</v>
      </c>
      <c r="BF63" s="118">
        <f t="shared" si="12"/>
        <v>0</v>
      </c>
      <c r="BG63" s="118">
        <f t="shared" si="13"/>
        <v>0</v>
      </c>
      <c r="BH63" s="118">
        <f t="shared" si="14"/>
        <v>0</v>
      </c>
      <c r="BI63" s="122">
        <f t="shared" si="15"/>
        <v>0</v>
      </c>
      <c r="BJ63" s="118">
        <f t="shared" si="114"/>
        <v>0</v>
      </c>
      <c r="BK63" s="44">
        <v>2020</v>
      </c>
      <c r="BL63" s="8" t="b">
        <f t="shared" si="115"/>
        <v>1</v>
      </c>
      <c r="BM63" s="128">
        <f t="shared" si="2"/>
        <v>52.818800000000003</v>
      </c>
      <c r="BN63" s="129">
        <f t="shared" ref="BN63:BN126" si="127">BM63-Q63</f>
        <v>0</v>
      </c>
      <c r="BR63" s="73">
        <f t="shared" si="116"/>
        <v>0</v>
      </c>
      <c r="BS63" s="73">
        <f t="shared" si="117"/>
        <v>0</v>
      </c>
      <c r="BT63" s="73">
        <f t="shared" si="118"/>
        <v>48.203895172822406</v>
      </c>
      <c r="BU63" s="73">
        <f t="shared" si="119"/>
        <v>0</v>
      </c>
      <c r="BV63" s="73">
        <f t="shared" si="120"/>
        <v>0</v>
      </c>
      <c r="BW63" s="73">
        <f t="shared" si="121"/>
        <v>0</v>
      </c>
      <c r="BX63" s="73">
        <f t="shared" si="122"/>
        <v>0</v>
      </c>
      <c r="BY63" s="73">
        <f t="shared" si="123"/>
        <v>0</v>
      </c>
      <c r="BZ63" s="74">
        <f t="shared" si="124"/>
        <v>57.844674207386888</v>
      </c>
      <c r="CB63" s="75">
        <f t="shared" si="4"/>
        <v>57.844674207386888</v>
      </c>
      <c r="CJ63" s="70">
        <f t="shared" si="5"/>
        <v>0</v>
      </c>
      <c r="CK63" s="166"/>
      <c r="CL63" s="163"/>
      <c r="CM63" s="68"/>
      <c r="CN63" s="20">
        <v>70.599999999999994</v>
      </c>
      <c r="CQ63" s="177">
        <f t="shared" si="17"/>
        <v>52.818800000000003</v>
      </c>
      <c r="CR63" s="177">
        <f t="shared" si="18"/>
        <v>-17.781199999999991</v>
      </c>
    </row>
    <row r="64" spans="1:96" s="8" customFormat="1" ht="54.75" customHeight="1" x14ac:dyDescent="0.3">
      <c r="A64" s="44" t="s">
        <v>525</v>
      </c>
      <c r="B64" s="51" t="s">
        <v>71</v>
      </c>
      <c r="C64" s="76" t="s">
        <v>362</v>
      </c>
      <c r="D64" s="46" t="s">
        <v>354</v>
      </c>
      <c r="E64" s="27" t="s">
        <v>130</v>
      </c>
      <c r="F64" s="21">
        <f t="shared" si="107"/>
        <v>2020</v>
      </c>
      <c r="G64" s="46">
        <f t="shared" si="108"/>
        <v>2025</v>
      </c>
      <c r="H64" s="46">
        <f t="shared" si="109"/>
        <v>2022</v>
      </c>
      <c r="I64" s="29" t="s">
        <v>131</v>
      </c>
      <c r="J64" s="28">
        <f>Q64</f>
        <v>287.29480000000001</v>
      </c>
      <c r="K64" s="20">
        <v>0</v>
      </c>
      <c r="L64" s="20">
        <f t="shared" si="110"/>
        <v>287.86919999999998</v>
      </c>
      <c r="M64" s="20">
        <v>14.393459999999999</v>
      </c>
      <c r="N64" s="20">
        <v>71.967299999999994</v>
      </c>
      <c r="O64" s="20">
        <v>184.236288</v>
      </c>
      <c r="P64" s="20">
        <v>17.272151999999998</v>
      </c>
      <c r="Q64" s="20">
        <v>287.29480000000001</v>
      </c>
      <c r="R64" s="20">
        <f t="shared" ref="R64:R104" si="128">0.05*Q64</f>
        <v>14.364740000000001</v>
      </c>
      <c r="S64" s="20">
        <f t="shared" ref="S64:S104" si="129">0.25*Q64</f>
        <v>71.823700000000002</v>
      </c>
      <c r="T64" s="20">
        <f t="shared" ref="T64:T104" si="130">0.64*Q64</f>
        <v>183.868672</v>
      </c>
      <c r="U64" s="20">
        <f t="shared" ref="U64:U104" si="131">0.06*Q64</f>
        <v>17.237687999999999</v>
      </c>
      <c r="V64" s="20">
        <v>0</v>
      </c>
      <c r="W64" s="20">
        <f t="shared" si="111"/>
        <v>287.86919999999998</v>
      </c>
      <c r="X64" s="20"/>
      <c r="Y64" s="20">
        <f>W64-(AB64+AD64+AF64)</f>
        <v>70.569199999999995</v>
      </c>
      <c r="Z64" s="28"/>
      <c r="AA64" s="20">
        <f>Q64-(K64+AC64+AE64+AG64)</f>
        <v>55.300000000000011</v>
      </c>
      <c r="AB64" s="28">
        <v>0</v>
      </c>
      <c r="AC64" s="20">
        <v>0</v>
      </c>
      <c r="AD64" s="176">
        <v>83.1</v>
      </c>
      <c r="AE64" s="28">
        <v>97.869199999999992</v>
      </c>
      <c r="AF64" s="28">
        <v>134.19999999999999</v>
      </c>
      <c r="AG64" s="28">
        <v>134.12559999999999</v>
      </c>
      <c r="AH64" s="28">
        <v>55.8</v>
      </c>
      <c r="AI64" s="28">
        <v>55.3</v>
      </c>
      <c r="AJ64" s="28"/>
      <c r="AK64" s="20"/>
      <c r="AL64" s="28"/>
      <c r="AM64" s="28"/>
      <c r="AN64" s="28">
        <f t="shared" si="112"/>
        <v>273.09999999999997</v>
      </c>
      <c r="AO64" s="28">
        <f t="shared" si="113"/>
        <v>287.29480000000001</v>
      </c>
      <c r="AP64" s="94"/>
      <c r="AQ64" s="86"/>
      <c r="AR64" s="85">
        <f t="shared" si="8"/>
        <v>14.769200000000012</v>
      </c>
      <c r="AS64" s="85">
        <f t="shared" si="9"/>
        <v>0</v>
      </c>
      <c r="AT64" s="113">
        <f t="shared" si="39"/>
        <v>-0.57439999999996871</v>
      </c>
      <c r="AV64" s="105">
        <f t="shared" si="40"/>
        <v>4.2632564145606011E-14</v>
      </c>
      <c r="AX64" s="31">
        <f t="shared" si="125"/>
        <v>0</v>
      </c>
      <c r="AY64" s="15"/>
      <c r="AZ64" s="118">
        <v>134.12559999999999</v>
      </c>
      <c r="BA64" s="118">
        <v>55.3</v>
      </c>
      <c r="BB64" s="118"/>
      <c r="BC64" s="118"/>
      <c r="BE64" s="118">
        <f t="shared" si="11"/>
        <v>0</v>
      </c>
      <c r="BF64" s="118">
        <f t="shared" si="12"/>
        <v>0</v>
      </c>
      <c r="BG64" s="118">
        <f t="shared" si="13"/>
        <v>0</v>
      </c>
      <c r="BH64" s="118">
        <f t="shared" si="14"/>
        <v>0</v>
      </c>
      <c r="BI64" s="122">
        <f t="shared" si="15"/>
        <v>0</v>
      </c>
      <c r="BJ64" s="118">
        <f t="shared" si="114"/>
        <v>0</v>
      </c>
      <c r="BK64" s="44">
        <v>2022</v>
      </c>
      <c r="BL64" s="8" t="b">
        <f t="shared" si="115"/>
        <v>1</v>
      </c>
      <c r="BM64" s="128">
        <f t="shared" si="2"/>
        <v>287.29480000000001</v>
      </c>
      <c r="BN64" s="129">
        <f t="shared" si="127"/>
        <v>0</v>
      </c>
      <c r="BR64" s="73">
        <f t="shared" si="116"/>
        <v>0</v>
      </c>
      <c r="BS64" s="73">
        <f t="shared" si="117"/>
        <v>0</v>
      </c>
      <c r="BT64" s="73">
        <f t="shared" si="118"/>
        <v>89.318134025157519</v>
      </c>
      <c r="BU64" s="73">
        <f t="shared" si="119"/>
        <v>117.4303653686284</v>
      </c>
      <c r="BV64" s="73">
        <f t="shared" si="120"/>
        <v>46.411548390787296</v>
      </c>
      <c r="BW64" s="73">
        <f t="shared" si="121"/>
        <v>0</v>
      </c>
      <c r="BX64" s="73">
        <f t="shared" si="122"/>
        <v>0</v>
      </c>
      <c r="BY64" s="73">
        <f t="shared" si="123"/>
        <v>3.1429104422520756E-14</v>
      </c>
      <c r="BZ64" s="74">
        <f t="shared" si="124"/>
        <v>303.79205734148786</v>
      </c>
      <c r="CB64" s="75">
        <f t="shared" si="4"/>
        <v>303.79205734148786</v>
      </c>
      <c r="CJ64" s="70">
        <f t="shared" si="5"/>
        <v>0</v>
      </c>
      <c r="CK64" s="166"/>
      <c r="CL64" s="163"/>
      <c r="CM64" s="68"/>
      <c r="CN64" s="28">
        <v>83.1</v>
      </c>
      <c r="CQ64" s="177">
        <f t="shared" si="17"/>
        <v>287.79480000000001</v>
      </c>
      <c r="CR64" s="177">
        <f t="shared" si="18"/>
        <v>14.694800000000043</v>
      </c>
    </row>
    <row r="65" spans="1:96" ht="33" x14ac:dyDescent="0.3">
      <c r="A65" s="44" t="s">
        <v>525</v>
      </c>
      <c r="B65" s="51" t="s">
        <v>71</v>
      </c>
      <c r="C65" s="76" t="s">
        <v>147</v>
      </c>
      <c r="D65" s="20" t="s">
        <v>229</v>
      </c>
      <c r="E65" s="27" t="s">
        <v>130</v>
      </c>
      <c r="F65" s="21">
        <f t="shared" si="107"/>
        <v>2021</v>
      </c>
      <c r="G65" s="46" t="str">
        <f t="shared" si="108"/>
        <v>Ошибка в +</v>
      </c>
      <c r="H65" s="46">
        <f t="shared" si="109"/>
        <v>2022</v>
      </c>
      <c r="I65" s="22" t="s">
        <v>131</v>
      </c>
      <c r="J65" s="28">
        <v>162.75899999999999</v>
      </c>
      <c r="K65" s="20">
        <v>0</v>
      </c>
      <c r="L65" s="20">
        <f t="shared" si="110"/>
        <v>106.1</v>
      </c>
      <c r="M65" s="20">
        <v>5.3049999999999997</v>
      </c>
      <c r="N65" s="20">
        <v>26.524999999999999</v>
      </c>
      <c r="O65" s="20">
        <v>67.903999999999996</v>
      </c>
      <c r="P65" s="20">
        <v>6.3659999999999997</v>
      </c>
      <c r="Q65" s="20">
        <v>139.40940000000001</v>
      </c>
      <c r="R65" s="20">
        <f t="shared" si="128"/>
        <v>6.9704700000000006</v>
      </c>
      <c r="S65" s="20">
        <f t="shared" si="129"/>
        <v>34.852350000000001</v>
      </c>
      <c r="T65" s="20">
        <f t="shared" si="130"/>
        <v>89.222016000000011</v>
      </c>
      <c r="U65" s="20">
        <f t="shared" si="131"/>
        <v>8.3645639999999997</v>
      </c>
      <c r="V65" s="20">
        <v>0</v>
      </c>
      <c r="W65" s="20">
        <f t="shared" si="111"/>
        <v>106.1</v>
      </c>
      <c r="X65" s="20"/>
      <c r="Y65" s="20">
        <f t="shared" ref="Y65:Y104" si="132">W65-(AB65+AD65+AF65)</f>
        <v>-1.5</v>
      </c>
      <c r="Z65" s="28"/>
      <c r="AA65" s="20">
        <f t="shared" ref="AA65:AA104" si="133">Q65-(K65+AC65+AE65+AG65)</f>
        <v>34.69</v>
      </c>
      <c r="AB65" s="20"/>
      <c r="AC65" s="20"/>
      <c r="AD65" s="174">
        <v>1.5</v>
      </c>
      <c r="AE65" s="20"/>
      <c r="AF65" s="20">
        <v>106.1</v>
      </c>
      <c r="AG65" s="20">
        <v>104.71940000000001</v>
      </c>
      <c r="AH65" s="20"/>
      <c r="AI65" s="20">
        <v>34.69</v>
      </c>
      <c r="AJ65" s="20"/>
      <c r="AK65" s="20"/>
      <c r="AL65" s="20"/>
      <c r="AM65" s="20"/>
      <c r="AN65" s="20">
        <f t="shared" si="112"/>
        <v>107.6</v>
      </c>
      <c r="AO65" s="20">
        <f t="shared" si="113"/>
        <v>139.40940000000001</v>
      </c>
      <c r="AP65" s="94" t="s">
        <v>553</v>
      </c>
      <c r="AQ65" s="86"/>
      <c r="AR65" s="115">
        <f t="shared" si="8"/>
        <v>-1.5</v>
      </c>
      <c r="AS65" s="115">
        <f t="shared" si="9"/>
        <v>0</v>
      </c>
      <c r="AT65" s="22">
        <f t="shared" si="39"/>
        <v>33.309400000000011</v>
      </c>
      <c r="AV65" s="105">
        <f t="shared" si="40"/>
        <v>0</v>
      </c>
      <c r="AX65" s="31">
        <f t="shared" si="125"/>
        <v>23.349599999999981</v>
      </c>
      <c r="AY65" s="15"/>
      <c r="AZ65" s="118">
        <v>104.71940000000001</v>
      </c>
      <c r="BA65" s="118">
        <v>34.69</v>
      </c>
      <c r="BB65" s="118"/>
      <c r="BC65" s="118"/>
      <c r="BD65" s="8"/>
      <c r="BE65" s="118">
        <f t="shared" si="11"/>
        <v>0</v>
      </c>
      <c r="BF65" s="118">
        <f t="shared" si="12"/>
        <v>0</v>
      </c>
      <c r="BG65" s="118">
        <f t="shared" si="13"/>
        <v>0</v>
      </c>
      <c r="BH65" s="118">
        <f t="shared" si="14"/>
        <v>0</v>
      </c>
      <c r="BI65" s="122">
        <f t="shared" si="15"/>
        <v>0</v>
      </c>
      <c r="BJ65" s="118">
        <f t="shared" si="114"/>
        <v>0</v>
      </c>
      <c r="BK65" s="108">
        <v>2022</v>
      </c>
      <c r="BL65" s="8" t="b">
        <f t="shared" si="115"/>
        <v>1</v>
      </c>
      <c r="BM65" s="128">
        <f t="shared" si="2"/>
        <v>139.40940000000001</v>
      </c>
      <c r="BN65" s="129">
        <f t="shared" si="127"/>
        <v>0</v>
      </c>
      <c r="BR65" s="73">
        <f t="shared" si="116"/>
        <v>0</v>
      </c>
      <c r="BS65" s="73">
        <f t="shared" si="117"/>
        <v>0</v>
      </c>
      <c r="BT65" s="73">
        <f t="shared" si="118"/>
        <v>0</v>
      </c>
      <c r="BU65" s="73">
        <f t="shared" si="119"/>
        <v>91.684491276710389</v>
      </c>
      <c r="BV65" s="73">
        <f t="shared" si="120"/>
        <v>29.114224478777778</v>
      </c>
      <c r="BW65" s="73">
        <f t="shared" si="121"/>
        <v>0</v>
      </c>
      <c r="BX65" s="73">
        <f t="shared" si="122"/>
        <v>0</v>
      </c>
      <c r="BY65" s="73">
        <f t="shared" si="123"/>
        <v>0</v>
      </c>
      <c r="BZ65" s="74">
        <f t="shared" si="124"/>
        <v>144.95845890658578</v>
      </c>
      <c r="CB65" s="75">
        <f t="shared" si="4"/>
        <v>144.95845890658578</v>
      </c>
      <c r="CE65" s="8"/>
      <c r="CJ65" s="70">
        <f t="shared" si="5"/>
        <v>0</v>
      </c>
      <c r="CL65" s="163"/>
      <c r="CM65" s="68"/>
      <c r="CN65" s="20">
        <v>1.5</v>
      </c>
      <c r="CQ65" s="177">
        <f t="shared" si="17"/>
        <v>104.71940000000001</v>
      </c>
      <c r="CR65" s="177">
        <f t="shared" si="18"/>
        <v>-2.8805999999999869</v>
      </c>
    </row>
    <row r="66" spans="1:96" ht="42.75" customHeight="1" x14ac:dyDescent="0.3">
      <c r="A66" s="44" t="s">
        <v>525</v>
      </c>
      <c r="B66" s="51" t="s">
        <v>71</v>
      </c>
      <c r="C66" s="76" t="s">
        <v>148</v>
      </c>
      <c r="D66" s="20" t="s">
        <v>230</v>
      </c>
      <c r="E66" s="27" t="s">
        <v>487</v>
      </c>
      <c r="F66" s="21">
        <f t="shared" si="107"/>
        <v>2020</v>
      </c>
      <c r="G66" s="46">
        <f t="shared" si="108"/>
        <v>2025</v>
      </c>
      <c r="H66" s="46">
        <f t="shared" si="109"/>
        <v>2020</v>
      </c>
      <c r="I66" s="22" t="s">
        <v>131</v>
      </c>
      <c r="J66" s="20">
        <v>145.36799999999999</v>
      </c>
      <c r="K66" s="20">
        <v>0</v>
      </c>
      <c r="L66" s="20">
        <f t="shared" si="110"/>
        <v>135</v>
      </c>
      <c r="M66" s="20">
        <v>6.75</v>
      </c>
      <c r="N66" s="20">
        <v>33.75</v>
      </c>
      <c r="O66" s="20">
        <v>86.4</v>
      </c>
      <c r="P66" s="20">
        <v>8.1</v>
      </c>
      <c r="Q66" s="20">
        <v>135</v>
      </c>
      <c r="R66" s="20">
        <f t="shared" si="128"/>
        <v>6.75</v>
      </c>
      <c r="S66" s="20">
        <f t="shared" si="129"/>
        <v>33.75</v>
      </c>
      <c r="T66" s="20">
        <f t="shared" si="130"/>
        <v>86.4</v>
      </c>
      <c r="U66" s="20">
        <f t="shared" si="131"/>
        <v>8.1</v>
      </c>
      <c r="V66" s="20">
        <v>0</v>
      </c>
      <c r="W66" s="20">
        <f t="shared" si="111"/>
        <v>135</v>
      </c>
      <c r="X66" s="20"/>
      <c r="Y66" s="20">
        <f t="shared" si="132"/>
        <v>133.5</v>
      </c>
      <c r="Z66" s="28"/>
      <c r="AA66" s="20">
        <f t="shared" si="133"/>
        <v>0</v>
      </c>
      <c r="AB66" s="20">
        <v>0</v>
      </c>
      <c r="AC66" s="20">
        <v>0</v>
      </c>
      <c r="AD66" s="174">
        <v>1.5</v>
      </c>
      <c r="AE66" s="20">
        <v>135</v>
      </c>
      <c r="AF66" s="20"/>
      <c r="AG66" s="20"/>
      <c r="AH66" s="20"/>
      <c r="AI66" s="20"/>
      <c r="AJ66" s="20"/>
      <c r="AK66" s="20"/>
      <c r="AL66" s="20"/>
      <c r="AM66" s="20"/>
      <c r="AN66" s="20">
        <f t="shared" si="112"/>
        <v>1.5</v>
      </c>
      <c r="AO66" s="20">
        <f t="shared" si="113"/>
        <v>135</v>
      </c>
      <c r="AP66" s="94"/>
      <c r="AQ66" s="86"/>
      <c r="AR66" s="85">
        <f t="shared" si="8"/>
        <v>133.5</v>
      </c>
      <c r="AS66" s="85">
        <f t="shared" si="9"/>
        <v>0</v>
      </c>
      <c r="AT66" s="113">
        <f t="shared" si="39"/>
        <v>0</v>
      </c>
      <c r="AV66" s="105">
        <f t="shared" si="40"/>
        <v>0</v>
      </c>
      <c r="AX66" s="31">
        <f t="shared" si="125"/>
        <v>10.367999999999995</v>
      </c>
      <c r="AY66" s="15"/>
      <c r="AZ66" s="118"/>
      <c r="BA66" s="118"/>
      <c r="BB66" s="118"/>
      <c r="BC66" s="118"/>
      <c r="BD66" s="8"/>
      <c r="BE66" s="118">
        <f t="shared" si="11"/>
        <v>0</v>
      </c>
      <c r="BF66" s="118">
        <f t="shared" si="12"/>
        <v>0</v>
      </c>
      <c r="BG66" s="118">
        <f t="shared" si="13"/>
        <v>0</v>
      </c>
      <c r="BH66" s="118">
        <f t="shared" si="14"/>
        <v>0</v>
      </c>
      <c r="BI66" s="122">
        <f t="shared" si="15"/>
        <v>0</v>
      </c>
      <c r="BJ66" s="118">
        <f t="shared" si="114"/>
        <v>0</v>
      </c>
      <c r="BK66" s="108">
        <v>2020</v>
      </c>
      <c r="BL66" s="8" t="b">
        <f t="shared" si="115"/>
        <v>1</v>
      </c>
      <c r="BM66" s="128">
        <f t="shared" si="2"/>
        <v>135</v>
      </c>
      <c r="BN66" s="129">
        <f t="shared" si="127"/>
        <v>0</v>
      </c>
      <c r="BR66" s="73">
        <f t="shared" si="116"/>
        <v>0</v>
      </c>
      <c r="BS66" s="73">
        <f t="shared" si="117"/>
        <v>0</v>
      </c>
      <c r="BT66" s="73">
        <f t="shared" si="118"/>
        <v>123.20472726247139</v>
      </c>
      <c r="BU66" s="73">
        <f t="shared" si="119"/>
        <v>0</v>
      </c>
      <c r="BV66" s="73">
        <f t="shared" si="120"/>
        <v>0</v>
      </c>
      <c r="BW66" s="73">
        <f t="shared" si="121"/>
        <v>0</v>
      </c>
      <c r="BX66" s="73">
        <f t="shared" si="122"/>
        <v>0</v>
      </c>
      <c r="BY66" s="73">
        <f t="shared" si="123"/>
        <v>0</v>
      </c>
      <c r="BZ66" s="74">
        <f t="shared" si="124"/>
        <v>147.84567271496567</v>
      </c>
      <c r="CB66" s="75">
        <f t="shared" si="4"/>
        <v>147.84567271496567</v>
      </c>
      <c r="CE66" s="8"/>
      <c r="CJ66" s="70">
        <f t="shared" si="5"/>
        <v>0</v>
      </c>
      <c r="CL66" s="163"/>
      <c r="CM66" s="68"/>
      <c r="CN66" s="20">
        <v>1.5</v>
      </c>
      <c r="CQ66" s="177">
        <f t="shared" si="17"/>
        <v>135</v>
      </c>
      <c r="CR66" s="177">
        <f t="shared" si="18"/>
        <v>133.5</v>
      </c>
    </row>
    <row r="67" spans="1:96" ht="33" x14ac:dyDescent="0.3">
      <c r="A67" s="44" t="s">
        <v>525</v>
      </c>
      <c r="B67" s="51" t="s">
        <v>71</v>
      </c>
      <c r="C67" s="76" t="s">
        <v>149</v>
      </c>
      <c r="D67" s="20" t="s">
        <v>231</v>
      </c>
      <c r="E67" s="27" t="s">
        <v>130</v>
      </c>
      <c r="F67" s="21">
        <f t="shared" si="107"/>
        <v>2022</v>
      </c>
      <c r="G67" s="46" t="str">
        <f t="shared" si="108"/>
        <v>Ошибка в +</v>
      </c>
      <c r="H67" s="46">
        <f t="shared" si="109"/>
        <v>2023</v>
      </c>
      <c r="I67" s="22" t="s">
        <v>131</v>
      </c>
      <c r="J67" s="20" t="s">
        <v>131</v>
      </c>
      <c r="K67" s="20">
        <v>0</v>
      </c>
      <c r="L67" s="20">
        <f t="shared" si="110"/>
        <v>689.1</v>
      </c>
      <c r="M67" s="20">
        <v>34.455000000000005</v>
      </c>
      <c r="N67" s="20">
        <v>172.27500000000001</v>
      </c>
      <c r="O67" s="20">
        <v>441.024</v>
      </c>
      <c r="P67" s="20">
        <v>41.345999999999997</v>
      </c>
      <c r="Q67" s="20">
        <v>937.39</v>
      </c>
      <c r="R67" s="20">
        <f t="shared" si="128"/>
        <v>46.869500000000002</v>
      </c>
      <c r="S67" s="20">
        <f t="shared" si="129"/>
        <v>234.3475</v>
      </c>
      <c r="T67" s="20">
        <f t="shared" si="130"/>
        <v>599.92960000000005</v>
      </c>
      <c r="U67" s="20">
        <f t="shared" si="131"/>
        <v>56.243399999999994</v>
      </c>
      <c r="V67" s="20">
        <v>0</v>
      </c>
      <c r="W67" s="20">
        <f t="shared" si="111"/>
        <v>689.1</v>
      </c>
      <c r="X67" s="20"/>
      <c r="Y67" s="20">
        <f t="shared" si="132"/>
        <v>665.7</v>
      </c>
      <c r="Z67" s="28"/>
      <c r="AA67" s="20">
        <f t="shared" si="133"/>
        <v>937.39</v>
      </c>
      <c r="AB67" s="20">
        <v>0</v>
      </c>
      <c r="AC67" s="20">
        <v>0</v>
      </c>
      <c r="AD67" s="174">
        <v>23.4</v>
      </c>
      <c r="AE67" s="20"/>
      <c r="AF67" s="20"/>
      <c r="AG67" s="20"/>
      <c r="AH67" s="20">
        <v>689.1</v>
      </c>
      <c r="AI67" s="20">
        <v>50.18</v>
      </c>
      <c r="AJ67" s="20"/>
      <c r="AK67" s="20">
        <v>887.21</v>
      </c>
      <c r="AL67" s="20"/>
      <c r="AM67" s="20"/>
      <c r="AN67" s="20">
        <f t="shared" si="112"/>
        <v>712.5</v>
      </c>
      <c r="AO67" s="20">
        <f t="shared" si="113"/>
        <v>937.39</v>
      </c>
      <c r="AP67" s="94" t="s">
        <v>506</v>
      </c>
      <c r="AQ67" s="86"/>
      <c r="AR67" s="85">
        <f t="shared" si="8"/>
        <v>-23.399999999999977</v>
      </c>
      <c r="AS67" s="85">
        <f t="shared" si="9"/>
        <v>0</v>
      </c>
      <c r="AT67" s="113">
        <f t="shared" si="39"/>
        <v>248.28999999999996</v>
      </c>
      <c r="AV67" s="105">
        <f t="shared" si="40"/>
        <v>0</v>
      </c>
      <c r="AX67" s="31"/>
      <c r="AY67" s="15"/>
      <c r="AZ67" s="118"/>
      <c r="BA67" s="118">
        <v>50.18</v>
      </c>
      <c r="BB67" s="118">
        <v>869.66</v>
      </c>
      <c r="BC67" s="118"/>
      <c r="BD67" s="8"/>
      <c r="BE67" s="118">
        <f t="shared" si="11"/>
        <v>0</v>
      </c>
      <c r="BF67" s="118">
        <f t="shared" si="12"/>
        <v>0</v>
      </c>
      <c r="BG67" s="118">
        <f t="shared" si="13"/>
        <v>17.550000000000068</v>
      </c>
      <c r="BH67" s="118">
        <f t="shared" si="14"/>
        <v>0</v>
      </c>
      <c r="BI67" s="122">
        <f t="shared" si="15"/>
        <v>17.550000000000068</v>
      </c>
      <c r="BJ67" s="118">
        <f t="shared" si="114"/>
        <v>0</v>
      </c>
      <c r="BK67" s="108">
        <v>2023</v>
      </c>
      <c r="BL67" s="8" t="b">
        <f t="shared" si="115"/>
        <v>1</v>
      </c>
      <c r="BM67" s="128">
        <f t="shared" si="2"/>
        <v>937.39</v>
      </c>
      <c r="BN67" s="129">
        <f t="shared" si="127"/>
        <v>0</v>
      </c>
      <c r="BR67" s="73">
        <f t="shared" si="116"/>
        <v>0</v>
      </c>
      <c r="BS67" s="73">
        <f t="shared" si="117"/>
        <v>0</v>
      </c>
      <c r="BT67" s="73">
        <f t="shared" si="118"/>
        <v>0</v>
      </c>
      <c r="BU67" s="73">
        <f t="shared" si="119"/>
        <v>0</v>
      </c>
      <c r="BV67" s="73">
        <f t="shared" si="120"/>
        <v>42.114493639235199</v>
      </c>
      <c r="BW67" s="73">
        <f t="shared" si="121"/>
        <v>713.2931830636328</v>
      </c>
      <c r="BX67" s="73">
        <f t="shared" si="122"/>
        <v>0</v>
      </c>
      <c r="BY67" s="73">
        <f t="shared" si="123"/>
        <v>0</v>
      </c>
      <c r="BZ67" s="74">
        <f t="shared" si="124"/>
        <v>906.48921204344163</v>
      </c>
      <c r="CB67" s="75">
        <f t="shared" si="4"/>
        <v>906.48921204344163</v>
      </c>
      <c r="CE67" s="8"/>
      <c r="CJ67" s="70">
        <f t="shared" si="5"/>
        <v>0</v>
      </c>
      <c r="CL67" s="163"/>
      <c r="CM67" s="68"/>
      <c r="CN67" s="20">
        <v>23.4</v>
      </c>
      <c r="CQ67" s="177">
        <f t="shared" si="17"/>
        <v>689.1</v>
      </c>
      <c r="CR67" s="177">
        <f t="shared" si="18"/>
        <v>-23.399999999999977</v>
      </c>
    </row>
    <row r="68" spans="1:96" ht="33" x14ac:dyDescent="0.3">
      <c r="A68" s="44" t="s">
        <v>525</v>
      </c>
      <c r="B68" s="51" t="s">
        <v>71</v>
      </c>
      <c r="C68" s="76" t="s">
        <v>156</v>
      </c>
      <c r="D68" s="20" t="s">
        <v>234</v>
      </c>
      <c r="E68" s="27" t="s">
        <v>181</v>
      </c>
      <c r="F68" s="21">
        <f t="shared" si="107"/>
        <v>2022</v>
      </c>
      <c r="G68" s="46" t="str">
        <f t="shared" si="108"/>
        <v>Ошибка в +</v>
      </c>
      <c r="H68" s="46">
        <f t="shared" si="109"/>
        <v>2025</v>
      </c>
      <c r="I68" s="22" t="s">
        <v>131</v>
      </c>
      <c r="J68" s="20" t="s">
        <v>131</v>
      </c>
      <c r="K68" s="20">
        <v>0</v>
      </c>
      <c r="L68" s="20">
        <f t="shared" si="110"/>
        <v>330.20000000000005</v>
      </c>
      <c r="M68" s="20">
        <v>16.510000000000002</v>
      </c>
      <c r="N68" s="20">
        <v>82.55</v>
      </c>
      <c r="O68" s="20">
        <v>211.328</v>
      </c>
      <c r="P68" s="20">
        <v>19.811999999999998</v>
      </c>
      <c r="Q68" s="20">
        <v>333.56306999999998</v>
      </c>
      <c r="R68" s="20">
        <f t="shared" si="128"/>
        <v>16.678153500000001</v>
      </c>
      <c r="S68" s="20">
        <f t="shared" si="129"/>
        <v>83.390767499999995</v>
      </c>
      <c r="T68" s="20">
        <f t="shared" si="130"/>
        <v>213.48036479999999</v>
      </c>
      <c r="U68" s="20">
        <f t="shared" si="131"/>
        <v>20.0137842</v>
      </c>
      <c r="V68" s="20">
        <v>0</v>
      </c>
      <c r="W68" s="20">
        <f t="shared" si="111"/>
        <v>330.20000000000005</v>
      </c>
      <c r="X68" s="20"/>
      <c r="Y68" s="20">
        <f t="shared" si="132"/>
        <v>47.600000000000023</v>
      </c>
      <c r="Z68" s="28"/>
      <c r="AA68" s="20">
        <f t="shared" si="133"/>
        <v>333.56306999999998</v>
      </c>
      <c r="AB68" s="20">
        <v>0</v>
      </c>
      <c r="AC68" s="20">
        <v>0</v>
      </c>
      <c r="AD68" s="174">
        <v>282.60000000000002</v>
      </c>
      <c r="AE68" s="20"/>
      <c r="AF68" s="20"/>
      <c r="AG68" s="20"/>
      <c r="AH68" s="20"/>
      <c r="AI68" s="20">
        <v>16.45</v>
      </c>
      <c r="AJ68" s="20"/>
      <c r="AK68" s="20"/>
      <c r="AL68" s="20">
        <v>330.2</v>
      </c>
      <c r="AM68" s="20">
        <v>0</v>
      </c>
      <c r="AN68" s="107">
        <f>SUM(AE68+AF68+AH68+AJ68+AL68)</f>
        <v>330.2</v>
      </c>
      <c r="AO68" s="20">
        <f t="shared" si="113"/>
        <v>16.45</v>
      </c>
      <c r="AP68" s="94" t="s">
        <v>506</v>
      </c>
      <c r="AQ68" s="86"/>
      <c r="AR68" s="85">
        <f t="shared" si="8"/>
        <v>-282.59999999999991</v>
      </c>
      <c r="AS68" s="85">
        <f t="shared" si="9"/>
        <v>317.11306999999999</v>
      </c>
      <c r="AT68" s="113">
        <f t="shared" si="39"/>
        <v>3.3630699999999365</v>
      </c>
      <c r="AV68" s="105">
        <f t="shared" si="40"/>
        <v>317.11306999999999</v>
      </c>
      <c r="AX68" s="31"/>
      <c r="AY68" s="15"/>
      <c r="AZ68" s="118"/>
      <c r="BA68" s="118">
        <v>16.45</v>
      </c>
      <c r="BB68" s="118"/>
      <c r="BC68" s="118">
        <v>317.11306999999999</v>
      </c>
      <c r="BD68" s="8"/>
      <c r="BE68" s="118">
        <f t="shared" si="11"/>
        <v>0</v>
      </c>
      <c r="BF68" s="118">
        <f t="shared" si="12"/>
        <v>0</v>
      </c>
      <c r="BG68" s="118">
        <f t="shared" si="13"/>
        <v>0</v>
      </c>
      <c r="BH68" s="118">
        <f t="shared" si="14"/>
        <v>-317.11306999999999</v>
      </c>
      <c r="BI68" s="122">
        <f t="shared" si="15"/>
        <v>-317.11306999999999</v>
      </c>
      <c r="BJ68" s="125">
        <f t="shared" si="114"/>
        <v>-317.11306999999999</v>
      </c>
      <c r="BK68" s="108">
        <v>2024</v>
      </c>
      <c r="BL68" s="8" t="b">
        <f t="shared" si="115"/>
        <v>0</v>
      </c>
      <c r="BM68" s="128">
        <f t="shared" si="2"/>
        <v>16.45</v>
      </c>
      <c r="BN68" s="129">
        <f t="shared" si="127"/>
        <v>-317.11306999999999</v>
      </c>
      <c r="BR68" s="73">
        <f t="shared" si="116"/>
        <v>0</v>
      </c>
      <c r="BS68" s="73">
        <f t="shared" si="117"/>
        <v>0</v>
      </c>
      <c r="BT68" s="73">
        <f t="shared" si="118"/>
        <v>0</v>
      </c>
      <c r="BU68" s="73">
        <f t="shared" si="119"/>
        <v>0</v>
      </c>
      <c r="BV68" s="73">
        <f t="shared" si="120"/>
        <v>13.805966926373436</v>
      </c>
      <c r="BW68" s="73">
        <f t="shared" si="121"/>
        <v>0</v>
      </c>
      <c r="BX68" s="73">
        <f t="shared" si="122"/>
        <v>0</v>
      </c>
      <c r="BY68" s="73">
        <f t="shared" si="123"/>
        <v>233.77856787446726</v>
      </c>
      <c r="BZ68" s="74">
        <f t="shared" si="124"/>
        <v>297.1014417610088</v>
      </c>
      <c r="CB68" s="75">
        <f t="shared" si="4"/>
        <v>297.1014417610088</v>
      </c>
      <c r="CE68" s="8"/>
      <c r="CJ68" s="70">
        <f t="shared" si="5"/>
        <v>0</v>
      </c>
      <c r="CL68" s="163"/>
      <c r="CM68" s="68"/>
      <c r="CN68" s="20">
        <v>282.64000000000004</v>
      </c>
      <c r="CQ68" s="177">
        <f t="shared" si="17"/>
        <v>330.2</v>
      </c>
      <c r="CR68" s="177">
        <f t="shared" si="18"/>
        <v>0</v>
      </c>
    </row>
    <row r="69" spans="1:96" ht="49.5" x14ac:dyDescent="0.3">
      <c r="A69" s="44" t="s">
        <v>525</v>
      </c>
      <c r="B69" s="51" t="s">
        <v>71</v>
      </c>
      <c r="C69" s="76" t="s">
        <v>157</v>
      </c>
      <c r="D69" s="20" t="s">
        <v>236</v>
      </c>
      <c r="E69" s="27" t="s">
        <v>181</v>
      </c>
      <c r="F69" s="21">
        <f t="shared" si="107"/>
        <v>2021</v>
      </c>
      <c r="G69" s="46">
        <f t="shared" si="108"/>
        <v>2022</v>
      </c>
      <c r="H69" s="46">
        <f t="shared" si="109"/>
        <v>2025</v>
      </c>
      <c r="I69" s="22" t="s">
        <v>131</v>
      </c>
      <c r="J69" s="20" t="s">
        <v>131</v>
      </c>
      <c r="K69" s="20">
        <v>0</v>
      </c>
      <c r="L69" s="20">
        <f t="shared" si="110"/>
        <v>143.80000000000001</v>
      </c>
      <c r="M69" s="20">
        <v>7.1900000000000013</v>
      </c>
      <c r="N69" s="20">
        <v>35.950000000000003</v>
      </c>
      <c r="O69" s="20">
        <v>92.032000000000011</v>
      </c>
      <c r="P69" s="20">
        <v>8.6280000000000001</v>
      </c>
      <c r="Q69" s="20">
        <v>143.80000000000001</v>
      </c>
      <c r="R69" s="20">
        <f t="shared" si="128"/>
        <v>7.1900000000000013</v>
      </c>
      <c r="S69" s="20">
        <f t="shared" si="129"/>
        <v>35.950000000000003</v>
      </c>
      <c r="T69" s="20">
        <f t="shared" si="130"/>
        <v>92.032000000000011</v>
      </c>
      <c r="U69" s="20">
        <f t="shared" si="131"/>
        <v>8.6280000000000001</v>
      </c>
      <c r="V69" s="20">
        <v>0</v>
      </c>
      <c r="W69" s="20">
        <f t="shared" si="111"/>
        <v>143.80000000000001</v>
      </c>
      <c r="X69" s="20"/>
      <c r="Y69" s="20">
        <f t="shared" si="132"/>
        <v>135.4</v>
      </c>
      <c r="Z69" s="28"/>
      <c r="AA69" s="20">
        <f t="shared" si="133"/>
        <v>137.41510000000002</v>
      </c>
      <c r="AB69" s="20">
        <v>0</v>
      </c>
      <c r="AC69" s="20">
        <v>0</v>
      </c>
      <c r="AD69" s="20"/>
      <c r="AE69" s="20"/>
      <c r="AF69" s="20">
        <v>8.4</v>
      </c>
      <c r="AG69" s="20">
        <v>6.3849</v>
      </c>
      <c r="AH69" s="20">
        <v>135.4</v>
      </c>
      <c r="AI69" s="20"/>
      <c r="AJ69" s="20"/>
      <c r="AK69" s="20"/>
      <c r="AL69" s="20"/>
      <c r="AM69" s="20"/>
      <c r="AN69" s="20">
        <f t="shared" si="112"/>
        <v>143.80000000000001</v>
      </c>
      <c r="AO69" s="20">
        <f t="shared" si="113"/>
        <v>6.3849</v>
      </c>
      <c r="AP69" s="94" t="s">
        <v>498</v>
      </c>
      <c r="AQ69" s="86"/>
      <c r="AR69" s="85">
        <f t="shared" si="8"/>
        <v>0</v>
      </c>
      <c r="AS69" s="85">
        <f t="shared" si="9"/>
        <v>137.41510000000002</v>
      </c>
      <c r="AT69" s="113">
        <f t="shared" si="39"/>
        <v>0</v>
      </c>
      <c r="AV69" s="105">
        <f t="shared" si="40"/>
        <v>137.41510000000002</v>
      </c>
      <c r="AX69" s="31"/>
      <c r="AY69" s="15"/>
      <c r="AZ69" s="118">
        <v>6.3849</v>
      </c>
      <c r="BA69" s="118"/>
      <c r="BB69" s="118"/>
      <c r="BC69" s="118"/>
      <c r="BD69" s="8"/>
      <c r="BE69" s="118">
        <f t="shared" si="11"/>
        <v>0</v>
      </c>
      <c r="BF69" s="118">
        <f t="shared" si="12"/>
        <v>0</v>
      </c>
      <c r="BG69" s="118">
        <f t="shared" si="13"/>
        <v>0</v>
      </c>
      <c r="BH69" s="118">
        <f t="shared" si="14"/>
        <v>0</v>
      </c>
      <c r="BI69" s="122">
        <f t="shared" si="15"/>
        <v>0</v>
      </c>
      <c r="BJ69" s="125">
        <f t="shared" si="114"/>
        <v>-137.41510000000002</v>
      </c>
      <c r="BK69" s="108">
        <v>2025</v>
      </c>
      <c r="BL69" s="8" t="b">
        <f t="shared" si="115"/>
        <v>1</v>
      </c>
      <c r="BM69" s="128">
        <f t="shared" si="2"/>
        <v>6.3849</v>
      </c>
      <c r="BN69" s="129">
        <f t="shared" si="127"/>
        <v>-137.41510000000002</v>
      </c>
      <c r="BR69" s="73">
        <f t="shared" si="116"/>
        <v>0</v>
      </c>
      <c r="BS69" s="73">
        <f t="shared" si="117"/>
        <v>0</v>
      </c>
      <c r="BT69" s="73">
        <f t="shared" si="118"/>
        <v>0</v>
      </c>
      <c r="BU69" s="73">
        <f t="shared" si="119"/>
        <v>5.5901419254948763</v>
      </c>
      <c r="BV69" s="73">
        <f t="shared" si="120"/>
        <v>0</v>
      </c>
      <c r="BW69" s="73">
        <f t="shared" si="121"/>
        <v>0</v>
      </c>
      <c r="BX69" s="73">
        <f t="shared" si="122"/>
        <v>0</v>
      </c>
      <c r="BY69" s="73">
        <f t="shared" si="123"/>
        <v>101.30363053886965</v>
      </c>
      <c r="BZ69" s="74">
        <f t="shared" si="124"/>
        <v>128.27252695723743</v>
      </c>
      <c r="CB69" s="75">
        <f t="shared" si="4"/>
        <v>128.27252695723743</v>
      </c>
      <c r="CE69" s="8"/>
      <c r="CJ69" s="70">
        <f t="shared" si="5"/>
        <v>0</v>
      </c>
      <c r="CL69" s="163"/>
      <c r="CM69" s="68"/>
      <c r="CN69" s="20"/>
      <c r="CQ69" s="177">
        <f t="shared" si="17"/>
        <v>141.78489999999999</v>
      </c>
      <c r="CR69" s="177">
        <f t="shared" si="18"/>
        <v>-2.0151000000000181</v>
      </c>
    </row>
    <row r="70" spans="1:96" ht="33" x14ac:dyDescent="0.3">
      <c r="A70" s="44" t="s">
        <v>525</v>
      </c>
      <c r="B70" s="51" t="s">
        <v>71</v>
      </c>
      <c r="C70" s="76" t="s">
        <v>109</v>
      </c>
      <c r="D70" s="30" t="s">
        <v>305</v>
      </c>
      <c r="E70" s="27" t="s">
        <v>487</v>
      </c>
      <c r="F70" s="21">
        <f t="shared" si="107"/>
        <v>2019</v>
      </c>
      <c r="G70" s="46" t="str">
        <f t="shared" si="108"/>
        <v>Ошибка в +</v>
      </c>
      <c r="H70" s="46">
        <f t="shared" si="109"/>
        <v>2021</v>
      </c>
      <c r="I70" s="29" t="s">
        <v>131</v>
      </c>
      <c r="J70" s="20">
        <v>246.34200000000001</v>
      </c>
      <c r="K70" s="20">
        <v>0</v>
      </c>
      <c r="L70" s="20">
        <f t="shared" si="110"/>
        <v>243.00410000000002</v>
      </c>
      <c r="M70" s="20">
        <v>12.15</v>
      </c>
      <c r="N70" s="20">
        <v>60.75</v>
      </c>
      <c r="O70" s="20">
        <v>155.52000000000001</v>
      </c>
      <c r="P70" s="20">
        <f>14.58+0.0041</f>
        <v>14.584099999999999</v>
      </c>
      <c r="Q70" s="20">
        <f>239.5+0.528+0.0045</f>
        <v>240.0325</v>
      </c>
      <c r="R70" s="20">
        <f t="shared" si="128"/>
        <v>12.001625000000001</v>
      </c>
      <c r="S70" s="20">
        <f t="shared" si="129"/>
        <v>60.008125</v>
      </c>
      <c r="T70" s="20">
        <f t="shared" si="130"/>
        <v>153.6208</v>
      </c>
      <c r="U70" s="20">
        <f t="shared" si="131"/>
        <v>14.401949999999999</v>
      </c>
      <c r="V70" s="20">
        <v>0</v>
      </c>
      <c r="W70" s="20">
        <f t="shared" si="111"/>
        <v>243.00410000000002</v>
      </c>
      <c r="X70" s="20"/>
      <c r="Y70" s="20">
        <f t="shared" si="132"/>
        <v>-176.6</v>
      </c>
      <c r="Z70" s="28"/>
      <c r="AA70" s="20">
        <f t="shared" si="133"/>
        <v>0</v>
      </c>
      <c r="AB70" s="28">
        <v>2.0640999999999998</v>
      </c>
      <c r="AC70" s="20">
        <v>2.0640000000000001</v>
      </c>
      <c r="AD70" s="176">
        <v>234.8</v>
      </c>
      <c r="AE70" s="28">
        <v>58.2</v>
      </c>
      <c r="AF70" s="28">
        <v>182.73999999999998</v>
      </c>
      <c r="AG70" s="28">
        <v>179.76849999999999</v>
      </c>
      <c r="AH70" s="28"/>
      <c r="AI70" s="28"/>
      <c r="AJ70" s="28"/>
      <c r="AK70" s="20"/>
      <c r="AL70" s="28"/>
      <c r="AM70" s="28"/>
      <c r="AN70" s="102">
        <f>SUM(AE70+AF70+AH70+AJ70+AL70)</f>
        <v>240.94</v>
      </c>
      <c r="AO70" s="28">
        <f t="shared" si="113"/>
        <v>237.96850000000001</v>
      </c>
      <c r="AP70" s="94" t="s">
        <v>452</v>
      </c>
      <c r="AQ70" s="86"/>
      <c r="AR70" s="85">
        <f t="shared" si="8"/>
        <v>-176.6</v>
      </c>
      <c r="AS70" s="112">
        <f t="shared" si="9"/>
        <v>0</v>
      </c>
      <c r="AT70" s="113">
        <f t="shared" si="39"/>
        <v>-2.9716000000000236</v>
      </c>
      <c r="AV70" s="105">
        <f t="shared" si="40"/>
        <v>2.8421709430404007E-14</v>
      </c>
      <c r="AX70" s="31">
        <f>J70-Q70</f>
        <v>6.3095000000000141</v>
      </c>
      <c r="AY70" s="15"/>
      <c r="AZ70" s="118">
        <v>179.76849999999999</v>
      </c>
      <c r="BA70" s="118"/>
      <c r="BB70" s="118"/>
      <c r="BC70" s="118"/>
      <c r="BD70" s="8"/>
      <c r="BE70" s="118">
        <f t="shared" si="11"/>
        <v>0</v>
      </c>
      <c r="BF70" s="118">
        <f t="shared" si="12"/>
        <v>0</v>
      </c>
      <c r="BG70" s="118">
        <f t="shared" si="13"/>
        <v>0</v>
      </c>
      <c r="BH70" s="118">
        <f t="shared" si="14"/>
        <v>0</v>
      </c>
      <c r="BI70" s="122">
        <f t="shared" si="15"/>
        <v>0</v>
      </c>
      <c r="BJ70" s="118">
        <f t="shared" si="114"/>
        <v>0</v>
      </c>
      <c r="BK70" s="108">
        <v>2021</v>
      </c>
      <c r="BL70" s="8" t="b">
        <f t="shared" si="115"/>
        <v>1</v>
      </c>
      <c r="BM70" s="128">
        <f t="shared" si="2"/>
        <v>240.0325</v>
      </c>
      <c r="BN70" s="129">
        <f t="shared" si="127"/>
        <v>0</v>
      </c>
      <c r="BR70" s="73">
        <f t="shared" si="116"/>
        <v>0</v>
      </c>
      <c r="BS70" s="73">
        <f t="shared" si="117"/>
        <v>1.9657142857142857</v>
      </c>
      <c r="BT70" s="73">
        <f t="shared" si="118"/>
        <v>53.114926864265449</v>
      </c>
      <c r="BU70" s="73">
        <f t="shared" si="119"/>
        <v>157.39188221167529</v>
      </c>
      <c r="BV70" s="73">
        <f t="shared" si="120"/>
        <v>0</v>
      </c>
      <c r="BW70" s="73">
        <f t="shared" si="121"/>
        <v>0</v>
      </c>
      <c r="BX70" s="73">
        <f t="shared" si="122"/>
        <v>0</v>
      </c>
      <c r="BY70" s="73">
        <f t="shared" si="123"/>
        <v>2.0952736281680505E-14</v>
      </c>
      <c r="BZ70" s="74">
        <f t="shared" si="124"/>
        <v>254.96702803398605</v>
      </c>
      <c r="CB70" s="75">
        <f t="shared" si="4"/>
        <v>254.96702803398603</v>
      </c>
      <c r="CE70" s="8"/>
      <c r="CJ70" s="70">
        <f t="shared" si="5"/>
        <v>0</v>
      </c>
      <c r="CL70" s="163"/>
      <c r="CM70" s="68"/>
      <c r="CN70" s="28">
        <v>234.8</v>
      </c>
      <c r="CQ70" s="177">
        <f t="shared" si="17"/>
        <v>237.96850000000001</v>
      </c>
      <c r="CR70" s="177">
        <f t="shared" si="18"/>
        <v>-2.9714999999999918</v>
      </c>
    </row>
    <row r="71" spans="1:96" ht="49.5" x14ac:dyDescent="0.3">
      <c r="A71" s="44" t="s">
        <v>525</v>
      </c>
      <c r="B71" s="51" t="s">
        <v>71</v>
      </c>
      <c r="C71" s="76" t="s">
        <v>538</v>
      </c>
      <c r="D71" s="30" t="s">
        <v>306</v>
      </c>
      <c r="E71" s="27" t="s">
        <v>181</v>
      </c>
      <c r="F71" s="21">
        <f t="shared" si="107"/>
        <v>2020</v>
      </c>
      <c r="G71" s="46">
        <f t="shared" si="108"/>
        <v>2025</v>
      </c>
      <c r="H71" s="46">
        <f t="shared" si="109"/>
        <v>2025</v>
      </c>
      <c r="I71" s="29" t="s">
        <v>131</v>
      </c>
      <c r="J71" s="28" t="s">
        <v>131</v>
      </c>
      <c r="K71" s="20">
        <v>0</v>
      </c>
      <c r="L71" s="20">
        <f t="shared" si="110"/>
        <v>93.1</v>
      </c>
      <c r="M71" s="20">
        <v>4.6550000000000002</v>
      </c>
      <c r="N71" s="20">
        <v>23.274999999999999</v>
      </c>
      <c r="O71" s="20">
        <v>59.583999999999996</v>
      </c>
      <c r="P71" s="20">
        <v>5.5859999999999994</v>
      </c>
      <c r="Q71" s="20">
        <v>93.1</v>
      </c>
      <c r="R71" s="20">
        <f t="shared" si="128"/>
        <v>4.6550000000000002</v>
      </c>
      <c r="S71" s="20">
        <f t="shared" si="129"/>
        <v>23.274999999999999</v>
      </c>
      <c r="T71" s="20">
        <f t="shared" si="130"/>
        <v>59.583999999999996</v>
      </c>
      <c r="U71" s="20">
        <f t="shared" si="131"/>
        <v>5.5859999999999994</v>
      </c>
      <c r="V71" s="20">
        <v>0</v>
      </c>
      <c r="W71" s="20">
        <f t="shared" si="111"/>
        <v>93.1</v>
      </c>
      <c r="X71" s="20"/>
      <c r="Y71" s="20">
        <f t="shared" si="132"/>
        <v>87.699999999999989</v>
      </c>
      <c r="Z71" s="28"/>
      <c r="AA71" s="20">
        <f t="shared" si="133"/>
        <v>87.433999999999997</v>
      </c>
      <c r="AB71" s="28">
        <v>0</v>
      </c>
      <c r="AC71" s="20">
        <v>0</v>
      </c>
      <c r="AD71" s="176">
        <v>5.4</v>
      </c>
      <c r="AE71" s="28">
        <v>5.6660000000000004</v>
      </c>
      <c r="AF71" s="28"/>
      <c r="AG71" s="28"/>
      <c r="AH71" s="28"/>
      <c r="AI71" s="28"/>
      <c r="AJ71" s="28"/>
      <c r="AK71" s="20"/>
      <c r="AL71" s="28"/>
      <c r="AM71" s="28"/>
      <c r="AN71" s="28">
        <f t="shared" si="112"/>
        <v>5.4</v>
      </c>
      <c r="AO71" s="28">
        <f t="shared" si="113"/>
        <v>5.6660000000000004</v>
      </c>
      <c r="AP71" s="94" t="s">
        <v>498</v>
      </c>
      <c r="AQ71" s="69"/>
      <c r="AR71" s="85">
        <f t="shared" si="8"/>
        <v>87.699999999999989</v>
      </c>
      <c r="AS71" s="85">
        <f t="shared" si="9"/>
        <v>87.433999999999997</v>
      </c>
      <c r="AT71" s="113">
        <f t="shared" si="39"/>
        <v>0</v>
      </c>
      <c r="AV71" s="105">
        <f t="shared" si="40"/>
        <v>87.433999999999997</v>
      </c>
      <c r="AX71" s="31"/>
      <c r="AY71" s="15"/>
      <c r="AZ71" s="118"/>
      <c r="BA71" s="118"/>
      <c r="BB71" s="118"/>
      <c r="BC71" s="118"/>
      <c r="BD71" s="8"/>
      <c r="BE71" s="118">
        <f t="shared" si="11"/>
        <v>0</v>
      </c>
      <c r="BF71" s="118">
        <f t="shared" si="12"/>
        <v>0</v>
      </c>
      <c r="BG71" s="118">
        <f t="shared" si="13"/>
        <v>0</v>
      </c>
      <c r="BH71" s="118">
        <f t="shared" si="14"/>
        <v>0</v>
      </c>
      <c r="BI71" s="122">
        <f t="shared" si="15"/>
        <v>0</v>
      </c>
      <c r="BJ71" s="125">
        <f t="shared" si="114"/>
        <v>-87.433999999999997</v>
      </c>
      <c r="BK71" s="108">
        <v>2025</v>
      </c>
      <c r="BL71" s="8" t="b">
        <f t="shared" si="115"/>
        <v>1</v>
      </c>
      <c r="BM71" s="128">
        <f t="shared" si="2"/>
        <v>5.6660000000000004</v>
      </c>
      <c r="BN71" s="129">
        <f t="shared" si="127"/>
        <v>-87.433999999999997</v>
      </c>
      <c r="BR71" s="73">
        <f t="shared" si="116"/>
        <v>0</v>
      </c>
      <c r="BS71" s="73">
        <f t="shared" si="117"/>
        <v>0</v>
      </c>
      <c r="BT71" s="73">
        <f t="shared" si="118"/>
        <v>5.1709480345863925</v>
      </c>
      <c r="BU71" s="73">
        <f t="shared" si="119"/>
        <v>0</v>
      </c>
      <c r="BV71" s="73">
        <f t="shared" si="120"/>
        <v>0</v>
      </c>
      <c r="BW71" s="73">
        <f t="shared" si="121"/>
        <v>0</v>
      </c>
      <c r="BX71" s="73">
        <f t="shared" si="122"/>
        <v>0</v>
      </c>
      <c r="BY71" s="73">
        <f t="shared" si="123"/>
        <v>64.457120305814485</v>
      </c>
      <c r="BZ71" s="74">
        <f t="shared" si="124"/>
        <v>83.553682008481047</v>
      </c>
      <c r="CB71" s="75">
        <f t="shared" si="4"/>
        <v>83.553682008481047</v>
      </c>
      <c r="CE71" s="8"/>
      <c r="CJ71" s="70">
        <f t="shared" si="5"/>
        <v>-7.9936057773011271E-15</v>
      </c>
      <c r="CL71" s="163"/>
      <c r="CM71" s="68"/>
      <c r="CN71" s="28">
        <v>5.4</v>
      </c>
      <c r="CQ71" s="177">
        <f t="shared" si="17"/>
        <v>5.6660000000000004</v>
      </c>
      <c r="CR71" s="177">
        <f t="shared" si="18"/>
        <v>0.26600000000000001</v>
      </c>
    </row>
    <row r="72" spans="1:96" ht="49.5" x14ac:dyDescent="0.3">
      <c r="A72" s="44" t="s">
        <v>525</v>
      </c>
      <c r="B72" s="51" t="s">
        <v>71</v>
      </c>
      <c r="C72" s="76" t="s">
        <v>539</v>
      </c>
      <c r="D72" s="28" t="s">
        <v>309</v>
      </c>
      <c r="E72" s="27" t="s">
        <v>181</v>
      </c>
      <c r="F72" s="21">
        <f t="shared" si="107"/>
        <v>2019</v>
      </c>
      <c r="G72" s="46">
        <f t="shared" si="108"/>
        <v>2025</v>
      </c>
      <c r="H72" s="46">
        <f t="shared" si="109"/>
        <v>2025</v>
      </c>
      <c r="I72" s="29" t="s">
        <v>131</v>
      </c>
      <c r="J72" s="28" t="s">
        <v>131</v>
      </c>
      <c r="K72" s="20">
        <v>0</v>
      </c>
      <c r="L72" s="20">
        <f t="shared" si="110"/>
        <v>94.2</v>
      </c>
      <c r="M72" s="20">
        <v>4.71</v>
      </c>
      <c r="N72" s="20">
        <v>23.55</v>
      </c>
      <c r="O72" s="20">
        <v>60.288000000000004</v>
      </c>
      <c r="P72" s="20">
        <v>5.6520000000000001</v>
      </c>
      <c r="Q72" s="20">
        <v>94.2</v>
      </c>
      <c r="R72" s="20">
        <f t="shared" si="128"/>
        <v>4.71</v>
      </c>
      <c r="S72" s="20">
        <f t="shared" si="129"/>
        <v>23.55</v>
      </c>
      <c r="T72" s="20">
        <f t="shared" si="130"/>
        <v>60.288000000000004</v>
      </c>
      <c r="U72" s="20">
        <f t="shared" si="131"/>
        <v>5.6520000000000001</v>
      </c>
      <c r="V72" s="20">
        <v>0</v>
      </c>
      <c r="W72" s="20">
        <f t="shared" si="111"/>
        <v>94.2</v>
      </c>
      <c r="X72" s="20"/>
      <c r="Y72" s="20">
        <f t="shared" si="132"/>
        <v>86.856300000000005</v>
      </c>
      <c r="Z72" s="28"/>
      <c r="AA72" s="20">
        <f t="shared" si="133"/>
        <v>91.156300000000002</v>
      </c>
      <c r="AB72" s="28">
        <v>1.7437</v>
      </c>
      <c r="AC72" s="20">
        <v>1.7437</v>
      </c>
      <c r="AD72" s="176">
        <v>5.6</v>
      </c>
      <c r="AE72" s="28">
        <v>1.3</v>
      </c>
      <c r="AF72" s="28"/>
      <c r="AG72" s="28"/>
      <c r="AH72" s="28"/>
      <c r="AI72" s="28"/>
      <c r="AJ72" s="28"/>
      <c r="AK72" s="20"/>
      <c r="AL72" s="28"/>
      <c r="AM72" s="28"/>
      <c r="AN72" s="28">
        <f t="shared" si="112"/>
        <v>5.6</v>
      </c>
      <c r="AO72" s="28">
        <f t="shared" si="113"/>
        <v>1.3</v>
      </c>
      <c r="AP72" s="94" t="s">
        <v>498</v>
      </c>
      <c r="AQ72" s="69"/>
      <c r="AR72" s="85">
        <f t="shared" si="8"/>
        <v>86.856300000000005</v>
      </c>
      <c r="AS72" s="85">
        <f t="shared" si="9"/>
        <v>91.156300000000002</v>
      </c>
      <c r="AT72" s="113">
        <f t="shared" si="39"/>
        <v>0</v>
      </c>
      <c r="AV72" s="105">
        <f t="shared" si="40"/>
        <v>91.156300000000002</v>
      </c>
      <c r="AX72" s="31"/>
      <c r="AY72" s="15"/>
      <c r="AZ72" s="118"/>
      <c r="BA72" s="118"/>
      <c r="BB72" s="118"/>
      <c r="BC72" s="118"/>
      <c r="BD72" s="8"/>
      <c r="BE72" s="118">
        <f t="shared" si="11"/>
        <v>0</v>
      </c>
      <c r="BF72" s="118">
        <f t="shared" si="12"/>
        <v>0</v>
      </c>
      <c r="BG72" s="118">
        <f t="shared" si="13"/>
        <v>0</v>
      </c>
      <c r="BH72" s="118">
        <f t="shared" si="14"/>
        <v>0</v>
      </c>
      <c r="BI72" s="122">
        <f t="shared" si="15"/>
        <v>0</v>
      </c>
      <c r="BJ72" s="125">
        <f t="shared" si="114"/>
        <v>-91.156300000000002</v>
      </c>
      <c r="BK72" s="108">
        <v>2025</v>
      </c>
      <c r="BL72" s="8" t="b">
        <f t="shared" si="115"/>
        <v>1</v>
      </c>
      <c r="BM72" s="128">
        <f t="shared" si="2"/>
        <v>3.0437000000000003</v>
      </c>
      <c r="BN72" s="129">
        <f t="shared" si="127"/>
        <v>-91.156300000000002</v>
      </c>
      <c r="BR72" s="73">
        <f t="shared" si="116"/>
        <v>0</v>
      </c>
      <c r="BS72" s="73">
        <f t="shared" si="117"/>
        <v>1.6606666666666665</v>
      </c>
      <c r="BT72" s="73">
        <f t="shared" si="118"/>
        <v>1.1864158921571319</v>
      </c>
      <c r="BU72" s="73">
        <f t="shared" si="119"/>
        <v>0</v>
      </c>
      <c r="BV72" s="73">
        <f t="shared" si="120"/>
        <v>0</v>
      </c>
      <c r="BW72" s="73">
        <f t="shared" si="121"/>
        <v>0</v>
      </c>
      <c r="BX72" s="73">
        <f t="shared" si="122"/>
        <v>0</v>
      </c>
      <c r="BY72" s="73">
        <f t="shared" si="123"/>
        <v>67.201232881178001</v>
      </c>
      <c r="BZ72" s="74">
        <f t="shared" si="124"/>
        <v>84.057978528002153</v>
      </c>
      <c r="CB72" s="75">
        <f t="shared" si="4"/>
        <v>84.057978528002153</v>
      </c>
      <c r="CE72" s="8"/>
      <c r="CJ72" s="70">
        <f t="shared" si="5"/>
        <v>7.9936057773011271E-15</v>
      </c>
      <c r="CL72" s="163"/>
      <c r="CM72" s="68"/>
      <c r="CN72" s="28">
        <v>5.6</v>
      </c>
      <c r="CQ72" s="177">
        <f t="shared" si="17"/>
        <v>1.3</v>
      </c>
      <c r="CR72" s="177">
        <f t="shared" si="18"/>
        <v>-4.3</v>
      </c>
    </row>
    <row r="73" spans="1:96" ht="49.5" x14ac:dyDescent="0.3">
      <c r="A73" s="44" t="s">
        <v>525</v>
      </c>
      <c r="B73" s="51" t="s">
        <v>71</v>
      </c>
      <c r="C73" s="76" t="s">
        <v>367</v>
      </c>
      <c r="D73" s="28" t="s">
        <v>433</v>
      </c>
      <c r="E73" s="27" t="s">
        <v>487</v>
      </c>
      <c r="F73" s="21">
        <f t="shared" si="107"/>
        <v>2021</v>
      </c>
      <c r="G73" s="46">
        <f t="shared" si="108"/>
        <v>2021</v>
      </c>
      <c r="H73" s="46">
        <f t="shared" si="109"/>
        <v>2021</v>
      </c>
      <c r="I73" s="29" t="s">
        <v>131</v>
      </c>
      <c r="J73" s="20">
        <f t="shared" ref="J73:J74" si="134">Q73</f>
        <v>71.048500000000004</v>
      </c>
      <c r="K73" s="20">
        <v>0</v>
      </c>
      <c r="L73" s="20">
        <f t="shared" si="110"/>
        <v>70.000000000000014</v>
      </c>
      <c r="M73" s="20">
        <v>3.5</v>
      </c>
      <c r="N73" s="20">
        <v>17.5</v>
      </c>
      <c r="O73" s="20">
        <v>44.800000000000004</v>
      </c>
      <c r="P73" s="20">
        <v>4.2</v>
      </c>
      <c r="Q73" s="20">
        <v>71.048500000000004</v>
      </c>
      <c r="R73" s="20">
        <f t="shared" si="128"/>
        <v>3.5524250000000004</v>
      </c>
      <c r="S73" s="20">
        <f t="shared" si="129"/>
        <v>17.762125000000001</v>
      </c>
      <c r="T73" s="20">
        <f t="shared" si="130"/>
        <v>45.471040000000002</v>
      </c>
      <c r="U73" s="20">
        <f t="shared" si="131"/>
        <v>4.2629099999999998</v>
      </c>
      <c r="V73" s="20">
        <v>0</v>
      </c>
      <c r="W73" s="20">
        <f t="shared" si="111"/>
        <v>70.000000000000014</v>
      </c>
      <c r="X73" s="20"/>
      <c r="Y73" s="20">
        <f t="shared" si="132"/>
        <v>0</v>
      </c>
      <c r="Z73" s="28"/>
      <c r="AA73" s="20">
        <f t="shared" si="133"/>
        <v>0</v>
      </c>
      <c r="AB73" s="28">
        <v>0</v>
      </c>
      <c r="AC73" s="20">
        <v>0</v>
      </c>
      <c r="AD73" s="28"/>
      <c r="AE73" s="28"/>
      <c r="AF73" s="28">
        <v>70</v>
      </c>
      <c r="AG73" s="28">
        <v>71.048500000000004</v>
      </c>
      <c r="AH73" s="28"/>
      <c r="AI73" s="28"/>
      <c r="AJ73" s="28"/>
      <c r="AK73" s="20"/>
      <c r="AL73" s="28"/>
      <c r="AM73" s="28"/>
      <c r="AN73" s="28">
        <f t="shared" si="112"/>
        <v>70</v>
      </c>
      <c r="AO73" s="28">
        <f t="shared" si="113"/>
        <v>71.048500000000004</v>
      </c>
      <c r="AP73" s="94" t="s">
        <v>456</v>
      </c>
      <c r="AQ73" s="86"/>
      <c r="AR73" s="85">
        <f t="shared" si="8"/>
        <v>0</v>
      </c>
      <c r="AS73" s="85">
        <f t="shared" si="9"/>
        <v>0</v>
      </c>
      <c r="AT73" s="113">
        <f t="shared" si="39"/>
        <v>1.04849999999999</v>
      </c>
      <c r="AV73" s="105">
        <f t="shared" si="40"/>
        <v>0</v>
      </c>
      <c r="AX73" s="31">
        <f t="shared" ref="AX73:AX74" si="135">J73-Q73</f>
        <v>0</v>
      </c>
      <c r="AY73" s="15"/>
      <c r="AZ73" s="118">
        <v>71.048500000000004</v>
      </c>
      <c r="BA73" s="118"/>
      <c r="BB73" s="118"/>
      <c r="BC73" s="118"/>
      <c r="BD73" s="8"/>
      <c r="BE73" s="118">
        <f t="shared" si="11"/>
        <v>0</v>
      </c>
      <c r="BF73" s="118">
        <f t="shared" si="12"/>
        <v>0</v>
      </c>
      <c r="BG73" s="118">
        <f t="shared" si="13"/>
        <v>0</v>
      </c>
      <c r="BH73" s="118">
        <f t="shared" si="14"/>
        <v>0</v>
      </c>
      <c r="BI73" s="122">
        <f t="shared" si="15"/>
        <v>0</v>
      </c>
      <c r="BJ73" s="118">
        <f t="shared" si="114"/>
        <v>0</v>
      </c>
      <c r="BK73" s="108">
        <v>2021</v>
      </c>
      <c r="BL73" s="8" t="b">
        <f t="shared" si="115"/>
        <v>1</v>
      </c>
      <c r="BM73" s="128">
        <f t="shared" si="2"/>
        <v>71.048500000000004</v>
      </c>
      <c r="BN73" s="129">
        <f t="shared" si="127"/>
        <v>0</v>
      </c>
      <c r="BR73" s="73">
        <f t="shared" si="116"/>
        <v>0</v>
      </c>
      <c r="BS73" s="73">
        <f t="shared" si="117"/>
        <v>0</v>
      </c>
      <c r="BT73" s="73">
        <f t="shared" si="118"/>
        <v>0</v>
      </c>
      <c r="BU73" s="73">
        <f t="shared" si="119"/>
        <v>62.204764145644056</v>
      </c>
      <c r="BV73" s="73">
        <f t="shared" si="120"/>
        <v>0</v>
      </c>
      <c r="BW73" s="73">
        <f t="shared" si="121"/>
        <v>0</v>
      </c>
      <c r="BX73" s="73">
        <f t="shared" si="122"/>
        <v>0</v>
      </c>
      <c r="BY73" s="73">
        <f t="shared" si="123"/>
        <v>0</v>
      </c>
      <c r="BZ73" s="74">
        <f t="shared" si="124"/>
        <v>74.645716974772867</v>
      </c>
      <c r="CB73" s="75">
        <f t="shared" si="4"/>
        <v>74.645716974772867</v>
      </c>
      <c r="CE73" s="8"/>
      <c r="CJ73" s="70">
        <f t="shared" si="5"/>
        <v>0</v>
      </c>
      <c r="CL73" s="163"/>
      <c r="CM73" s="68"/>
      <c r="CN73" s="28"/>
      <c r="CQ73" s="177">
        <f t="shared" si="17"/>
        <v>71.048500000000004</v>
      </c>
      <c r="CR73" s="177">
        <f t="shared" si="18"/>
        <v>1.0485000000000042</v>
      </c>
    </row>
    <row r="74" spans="1:96" ht="50.25" customHeight="1" x14ac:dyDescent="0.3">
      <c r="A74" s="44" t="s">
        <v>525</v>
      </c>
      <c r="B74" s="51" t="s">
        <v>71</v>
      </c>
      <c r="C74" s="76" t="s">
        <v>443</v>
      </c>
      <c r="D74" s="20" t="s">
        <v>240</v>
      </c>
      <c r="E74" s="27" t="s">
        <v>487</v>
      </c>
      <c r="F74" s="21">
        <f t="shared" si="107"/>
        <v>2020</v>
      </c>
      <c r="G74" s="46">
        <f t="shared" si="108"/>
        <v>2025</v>
      </c>
      <c r="H74" s="46">
        <f t="shared" si="109"/>
        <v>2021</v>
      </c>
      <c r="I74" s="22" t="s">
        <v>131</v>
      </c>
      <c r="J74" s="20">
        <f t="shared" si="134"/>
        <v>98.774699999999996</v>
      </c>
      <c r="K74" s="20">
        <v>0</v>
      </c>
      <c r="L74" s="20">
        <f t="shared" si="110"/>
        <v>409.35399999999998</v>
      </c>
      <c r="M74" s="20">
        <v>20.467700000000001</v>
      </c>
      <c r="N74" s="20">
        <v>102.3385</v>
      </c>
      <c r="O74" s="20">
        <v>261.98656</v>
      </c>
      <c r="P74" s="20">
        <v>24.561239999999998</v>
      </c>
      <c r="Q74" s="20">
        <v>98.774699999999996</v>
      </c>
      <c r="R74" s="20">
        <f t="shared" si="128"/>
        <v>4.9387350000000003</v>
      </c>
      <c r="S74" s="20">
        <f t="shared" si="129"/>
        <v>24.693674999999999</v>
      </c>
      <c r="T74" s="20">
        <f t="shared" si="130"/>
        <v>63.215807999999996</v>
      </c>
      <c r="U74" s="20">
        <f t="shared" si="131"/>
        <v>5.9264819999999991</v>
      </c>
      <c r="V74" s="20">
        <v>0</v>
      </c>
      <c r="W74" s="20">
        <f t="shared" si="111"/>
        <v>409.35399999999998</v>
      </c>
      <c r="X74" s="20"/>
      <c r="Y74" s="20">
        <f t="shared" si="132"/>
        <v>312.95399999999995</v>
      </c>
      <c r="Z74" s="28"/>
      <c r="AA74" s="20">
        <f t="shared" si="133"/>
        <v>0</v>
      </c>
      <c r="AB74" s="20">
        <v>0</v>
      </c>
      <c r="AC74" s="20">
        <v>0</v>
      </c>
      <c r="AD74" s="174">
        <v>51.9</v>
      </c>
      <c r="AE74" s="20">
        <v>55.154000000000003</v>
      </c>
      <c r="AF74" s="20">
        <v>44.5</v>
      </c>
      <c r="AG74" s="20">
        <v>43.620699999999999</v>
      </c>
      <c r="AH74" s="20">
        <v>104.49999999999999</v>
      </c>
      <c r="AI74" s="20"/>
      <c r="AJ74" s="20">
        <v>102.6</v>
      </c>
      <c r="AK74" s="20"/>
      <c r="AL74" s="20">
        <v>102.6</v>
      </c>
      <c r="AM74" s="20"/>
      <c r="AN74" s="20">
        <f t="shared" si="112"/>
        <v>406.1</v>
      </c>
      <c r="AO74" s="20">
        <f t="shared" si="113"/>
        <v>98.774699999999996</v>
      </c>
      <c r="AP74" s="94" t="s">
        <v>546</v>
      </c>
      <c r="AQ74" s="86"/>
      <c r="AR74" s="85">
        <f t="shared" si="8"/>
        <v>3.2539999999999623</v>
      </c>
      <c r="AS74" s="85">
        <f t="shared" si="9"/>
        <v>0</v>
      </c>
      <c r="AT74" s="113">
        <f t="shared" si="39"/>
        <v>-310.57929999999999</v>
      </c>
      <c r="AV74" s="105">
        <f t="shared" si="40"/>
        <v>-7.1054273576010019E-15</v>
      </c>
      <c r="AX74" s="31">
        <f t="shared" si="135"/>
        <v>0</v>
      </c>
      <c r="AY74" s="15"/>
      <c r="AZ74" s="118">
        <v>43.620699999999999</v>
      </c>
      <c r="BA74" s="118"/>
      <c r="BB74" s="118"/>
      <c r="BC74" s="118"/>
      <c r="BD74" s="8"/>
      <c r="BE74" s="118">
        <f t="shared" si="11"/>
        <v>0</v>
      </c>
      <c r="BF74" s="118">
        <f t="shared" si="12"/>
        <v>0</v>
      </c>
      <c r="BG74" s="118">
        <f t="shared" si="13"/>
        <v>0</v>
      </c>
      <c r="BH74" s="118">
        <f t="shared" si="14"/>
        <v>0</v>
      </c>
      <c r="BI74" s="122">
        <f t="shared" si="15"/>
        <v>0</v>
      </c>
      <c r="BJ74" s="118">
        <f t="shared" si="114"/>
        <v>0</v>
      </c>
      <c r="BK74" s="108">
        <v>2021</v>
      </c>
      <c r="BL74" s="8" t="b">
        <f t="shared" si="115"/>
        <v>1</v>
      </c>
      <c r="BM74" s="128">
        <f t="shared" si="2"/>
        <v>98.774699999999996</v>
      </c>
      <c r="BN74" s="129">
        <f t="shared" si="127"/>
        <v>0</v>
      </c>
      <c r="BR74" s="73">
        <f t="shared" si="116"/>
        <v>0</v>
      </c>
      <c r="BS74" s="73">
        <f t="shared" si="117"/>
        <v>0</v>
      </c>
      <c r="BT74" s="73">
        <f t="shared" si="118"/>
        <v>50.335063166180355</v>
      </c>
      <c r="BU74" s="73">
        <f t="shared" si="119"/>
        <v>38.191029442815761</v>
      </c>
      <c r="BV74" s="73">
        <f t="shared" si="120"/>
        <v>0</v>
      </c>
      <c r="BW74" s="73">
        <f t="shared" si="121"/>
        <v>0</v>
      </c>
      <c r="BX74" s="73">
        <f t="shared" si="122"/>
        <v>0</v>
      </c>
      <c r="BY74" s="73">
        <f t="shared" si="123"/>
        <v>-5.2381840704201263E-15</v>
      </c>
      <c r="BZ74" s="74">
        <f t="shared" si="124"/>
        <v>106.23131113079535</v>
      </c>
      <c r="CB74" s="75">
        <f t="shared" si="4"/>
        <v>106.23131113079535</v>
      </c>
      <c r="CE74" s="8"/>
      <c r="CJ74" s="70">
        <f t="shared" si="5"/>
        <v>7.9936057773011271E-15</v>
      </c>
      <c r="CL74" s="163"/>
      <c r="CM74" s="68"/>
      <c r="CN74" s="20">
        <v>51.9</v>
      </c>
      <c r="CQ74" s="177">
        <f t="shared" si="17"/>
        <v>408.47469999999998</v>
      </c>
      <c r="CR74" s="177">
        <f t="shared" si="18"/>
        <v>2.3746999999999616</v>
      </c>
    </row>
    <row r="75" spans="1:96" s="8" customFormat="1" ht="33" x14ac:dyDescent="0.3">
      <c r="A75" s="44"/>
      <c r="B75" s="51" t="s">
        <v>71</v>
      </c>
      <c r="C75" s="157" t="s">
        <v>541</v>
      </c>
      <c r="D75" s="20" t="s">
        <v>543</v>
      </c>
      <c r="E75" s="27" t="s">
        <v>181</v>
      </c>
      <c r="F75" s="21">
        <f t="shared" si="107"/>
        <v>2022</v>
      </c>
      <c r="G75" s="46" t="str">
        <f t="shared" si="108"/>
        <v>нд</v>
      </c>
      <c r="H75" s="46">
        <f t="shared" si="109"/>
        <v>2022</v>
      </c>
      <c r="I75" s="22" t="s">
        <v>131</v>
      </c>
      <c r="J75" s="20" t="s">
        <v>131</v>
      </c>
      <c r="K75" s="20">
        <v>0</v>
      </c>
      <c r="L75" s="20">
        <f t="shared" si="110"/>
        <v>0</v>
      </c>
      <c r="M75" s="20">
        <v>0</v>
      </c>
      <c r="N75" s="20">
        <v>0</v>
      </c>
      <c r="O75" s="20">
        <v>0</v>
      </c>
      <c r="P75" s="20">
        <v>0</v>
      </c>
      <c r="Q75" s="107">
        <v>1.8</v>
      </c>
      <c r="R75" s="107">
        <v>1.8</v>
      </c>
      <c r="S75" s="107">
        <v>0</v>
      </c>
      <c r="T75" s="107">
        <v>0</v>
      </c>
      <c r="U75" s="107">
        <v>0</v>
      </c>
      <c r="V75" s="20">
        <v>0</v>
      </c>
      <c r="W75" s="20">
        <f t="shared" si="111"/>
        <v>0</v>
      </c>
      <c r="X75" s="20"/>
      <c r="Y75" s="20">
        <f t="shared" si="132"/>
        <v>0</v>
      </c>
      <c r="Z75" s="28"/>
      <c r="AA75" s="107">
        <v>1.8</v>
      </c>
      <c r="AB75" s="20">
        <v>0</v>
      </c>
      <c r="AC75" s="20">
        <v>0</v>
      </c>
      <c r="AD75" s="20">
        <v>0</v>
      </c>
      <c r="AE75" s="20"/>
      <c r="AF75" s="20"/>
      <c r="AG75" s="20"/>
      <c r="AH75" s="20">
        <v>0</v>
      </c>
      <c r="AI75" s="152">
        <v>1.8</v>
      </c>
      <c r="AJ75" s="20">
        <v>0</v>
      </c>
      <c r="AK75" s="153">
        <v>0</v>
      </c>
      <c r="AL75" s="20">
        <v>0</v>
      </c>
      <c r="AM75" s="20">
        <v>0</v>
      </c>
      <c r="AN75" s="20">
        <f t="shared" si="112"/>
        <v>0</v>
      </c>
      <c r="AO75" s="20">
        <f t="shared" ref="AO75" si="136">SUM(AE75+AG75+AI75+AK75+AM75)</f>
        <v>1.8</v>
      </c>
      <c r="AP75" s="94" t="s">
        <v>612</v>
      </c>
      <c r="AQ75" s="86"/>
      <c r="AR75" s="85">
        <f t="shared" si="8"/>
        <v>0</v>
      </c>
      <c r="AS75" s="85">
        <f t="shared" si="9"/>
        <v>0</v>
      </c>
      <c r="AT75" s="113">
        <f t="shared" si="39"/>
        <v>1.8</v>
      </c>
      <c r="AV75" s="105">
        <f t="shared" si="40"/>
        <v>0</v>
      </c>
      <c r="AX75" s="31"/>
      <c r="AY75" s="15"/>
      <c r="AZ75" s="118"/>
      <c r="BA75" s="118">
        <v>140</v>
      </c>
      <c r="BB75" s="118"/>
      <c r="BC75" s="118"/>
      <c r="BE75" s="118">
        <f t="shared" si="11"/>
        <v>0</v>
      </c>
      <c r="BF75" s="118">
        <f t="shared" si="12"/>
        <v>-138.19999999999999</v>
      </c>
      <c r="BG75" s="118">
        <f t="shared" si="13"/>
        <v>0</v>
      </c>
      <c r="BH75" s="118">
        <f t="shared" si="14"/>
        <v>0</v>
      </c>
      <c r="BI75" s="122">
        <f t="shared" si="15"/>
        <v>-138.19999999999999</v>
      </c>
      <c r="BJ75" s="118">
        <f t="shared" si="114"/>
        <v>0</v>
      </c>
      <c r="BK75" s="44">
        <v>2022</v>
      </c>
      <c r="BL75" s="8" t="b">
        <f t="shared" si="115"/>
        <v>1</v>
      </c>
      <c r="BM75" s="128">
        <f t="shared" si="2"/>
        <v>1.8</v>
      </c>
      <c r="BN75" s="129">
        <f t="shared" si="127"/>
        <v>0</v>
      </c>
      <c r="BR75" s="86">
        <f t="shared" si="116"/>
        <v>0</v>
      </c>
      <c r="BS75" s="86">
        <f t="shared" si="117"/>
        <v>0</v>
      </c>
      <c r="BT75" s="86">
        <f t="shared" si="118"/>
        <v>0</v>
      </c>
      <c r="BU75" s="86">
        <f t="shared" si="119"/>
        <v>0</v>
      </c>
      <c r="BV75" s="86">
        <f t="shared" si="120"/>
        <v>1.5106833110925342</v>
      </c>
      <c r="BW75" s="86">
        <f t="shared" si="121"/>
        <v>0</v>
      </c>
      <c r="BX75" s="86">
        <f t="shared" si="122"/>
        <v>0</v>
      </c>
      <c r="BY75" s="86">
        <f t="shared" si="123"/>
        <v>0</v>
      </c>
      <c r="BZ75" s="87">
        <f t="shared" si="124"/>
        <v>1.8128199733110408</v>
      </c>
      <c r="CB75" s="75">
        <f t="shared" si="4"/>
        <v>1.8128199733110408</v>
      </c>
      <c r="CJ75" s="70">
        <f t="shared" si="5"/>
        <v>0</v>
      </c>
      <c r="CK75" s="166"/>
      <c r="CL75" s="163"/>
      <c r="CM75" s="68"/>
      <c r="CN75" s="20"/>
      <c r="CQ75" s="177">
        <f t="shared" si="17"/>
        <v>0</v>
      </c>
      <c r="CR75" s="177">
        <f t="shared" si="18"/>
        <v>0</v>
      </c>
    </row>
    <row r="76" spans="1:96" s="8" customFormat="1" ht="31.5" x14ac:dyDescent="0.3">
      <c r="A76" s="44"/>
      <c r="B76" s="51" t="s">
        <v>71</v>
      </c>
      <c r="C76" s="157" t="s">
        <v>542</v>
      </c>
      <c r="D76" s="20" t="s">
        <v>544</v>
      </c>
      <c r="E76" s="27" t="s">
        <v>181</v>
      </c>
      <c r="F76" s="21">
        <f t="shared" si="107"/>
        <v>2022</v>
      </c>
      <c r="G76" s="46" t="str">
        <f t="shared" si="108"/>
        <v>нд</v>
      </c>
      <c r="H76" s="46">
        <f t="shared" si="109"/>
        <v>2022</v>
      </c>
      <c r="I76" s="22" t="s">
        <v>131</v>
      </c>
      <c r="J76" s="20" t="s">
        <v>131</v>
      </c>
      <c r="K76" s="20">
        <v>0</v>
      </c>
      <c r="L76" s="20">
        <f t="shared" si="110"/>
        <v>0</v>
      </c>
      <c r="M76" s="20">
        <v>0</v>
      </c>
      <c r="N76" s="20">
        <v>0</v>
      </c>
      <c r="O76" s="20">
        <v>0</v>
      </c>
      <c r="P76" s="20">
        <v>0</v>
      </c>
      <c r="Q76" s="107">
        <v>1.8</v>
      </c>
      <c r="R76" s="107">
        <v>1.8</v>
      </c>
      <c r="S76" s="107">
        <v>0</v>
      </c>
      <c r="T76" s="107">
        <v>0</v>
      </c>
      <c r="U76" s="107">
        <v>0</v>
      </c>
      <c r="V76" s="20">
        <v>0</v>
      </c>
      <c r="W76" s="20">
        <f t="shared" si="111"/>
        <v>0</v>
      </c>
      <c r="X76" s="20"/>
      <c r="Y76" s="20">
        <f t="shared" si="132"/>
        <v>0</v>
      </c>
      <c r="Z76" s="28"/>
      <c r="AA76" s="107">
        <f t="shared" ref="AA76:AA78" si="137">Q76-(K76+AC76+AE76+AG76)</f>
        <v>1.8</v>
      </c>
      <c r="AB76" s="20">
        <v>0</v>
      </c>
      <c r="AC76" s="20">
        <v>0</v>
      </c>
      <c r="AD76" s="20">
        <v>0</v>
      </c>
      <c r="AE76" s="20"/>
      <c r="AF76" s="20"/>
      <c r="AG76" s="20"/>
      <c r="AH76" s="20">
        <v>0</v>
      </c>
      <c r="AI76" s="152">
        <v>1.8</v>
      </c>
      <c r="AJ76" s="20">
        <v>0</v>
      </c>
      <c r="AK76" s="153">
        <v>0</v>
      </c>
      <c r="AL76" s="20">
        <v>0</v>
      </c>
      <c r="AM76" s="20">
        <v>0</v>
      </c>
      <c r="AN76" s="20">
        <f t="shared" si="112"/>
        <v>0</v>
      </c>
      <c r="AO76" s="20">
        <f t="shared" ref="AO76" si="138">SUM(AE76+AG76+AI76+AK76+AM76)</f>
        <v>1.8</v>
      </c>
      <c r="AP76" s="159" t="s">
        <v>613</v>
      </c>
      <c r="AQ76" s="86"/>
      <c r="AR76" s="85">
        <f t="shared" si="8"/>
        <v>0</v>
      </c>
      <c r="AS76" s="85">
        <f t="shared" si="9"/>
        <v>0</v>
      </c>
      <c r="AT76" s="113">
        <f t="shared" si="39"/>
        <v>1.8</v>
      </c>
      <c r="AV76" s="105">
        <f t="shared" si="40"/>
        <v>0</v>
      </c>
      <c r="AX76" s="31"/>
      <c r="AY76" s="15"/>
      <c r="AZ76" s="118"/>
      <c r="BA76" s="118">
        <v>40</v>
      </c>
      <c r="BB76" s="118"/>
      <c r="BC76" s="118"/>
      <c r="BE76" s="118">
        <f t="shared" si="11"/>
        <v>0</v>
      </c>
      <c r="BF76" s="118">
        <f t="shared" si="12"/>
        <v>-38.200000000000003</v>
      </c>
      <c r="BG76" s="118">
        <f t="shared" si="13"/>
        <v>0</v>
      </c>
      <c r="BH76" s="118">
        <f t="shared" si="14"/>
        <v>0</v>
      </c>
      <c r="BI76" s="122">
        <f t="shared" si="15"/>
        <v>-38.200000000000003</v>
      </c>
      <c r="BJ76" s="118">
        <f t="shared" si="114"/>
        <v>0</v>
      </c>
      <c r="BK76" s="44">
        <v>2022</v>
      </c>
      <c r="BL76" s="8" t="b">
        <f t="shared" si="115"/>
        <v>1</v>
      </c>
      <c r="BM76" s="128">
        <f t="shared" si="2"/>
        <v>1.8</v>
      </c>
      <c r="BN76" s="129">
        <f t="shared" si="127"/>
        <v>0</v>
      </c>
      <c r="BR76" s="86">
        <f t="shared" si="116"/>
        <v>0</v>
      </c>
      <c r="BS76" s="86">
        <f t="shared" si="117"/>
        <v>0</v>
      </c>
      <c r="BT76" s="86">
        <f t="shared" si="118"/>
        <v>0</v>
      </c>
      <c r="BU76" s="86">
        <f t="shared" si="119"/>
        <v>0</v>
      </c>
      <c r="BV76" s="86">
        <f t="shared" si="120"/>
        <v>1.5106833110925342</v>
      </c>
      <c r="BW76" s="86">
        <f t="shared" si="121"/>
        <v>0</v>
      </c>
      <c r="BX76" s="86">
        <f t="shared" si="122"/>
        <v>0</v>
      </c>
      <c r="BY76" s="86">
        <f t="shared" si="123"/>
        <v>0</v>
      </c>
      <c r="BZ76" s="87">
        <f t="shared" si="124"/>
        <v>1.8128199733110408</v>
      </c>
      <c r="CB76" s="75">
        <f t="shared" si="4"/>
        <v>1.8128199733110408</v>
      </c>
      <c r="CJ76" s="70">
        <f t="shared" si="5"/>
        <v>0</v>
      </c>
      <c r="CK76" s="166"/>
      <c r="CL76" s="163"/>
      <c r="CM76" s="68"/>
      <c r="CN76" s="20"/>
      <c r="CQ76" s="177">
        <f t="shared" si="17"/>
        <v>0</v>
      </c>
      <c r="CR76" s="177">
        <f t="shared" si="18"/>
        <v>0</v>
      </c>
    </row>
    <row r="77" spans="1:96" s="8" customFormat="1" ht="56.25" x14ac:dyDescent="0.3">
      <c r="A77" s="44"/>
      <c r="B77" s="51" t="s">
        <v>71</v>
      </c>
      <c r="C77" s="76" t="s">
        <v>599</v>
      </c>
      <c r="D77" s="20" t="s">
        <v>528</v>
      </c>
      <c r="E77" s="27" t="s">
        <v>181</v>
      </c>
      <c r="F77" s="21">
        <f t="shared" si="107"/>
        <v>2022</v>
      </c>
      <c r="G77" s="46" t="str">
        <f t="shared" si="108"/>
        <v>нд</v>
      </c>
      <c r="H77" s="46">
        <f t="shared" si="109"/>
        <v>2022</v>
      </c>
      <c r="I77" s="22" t="s">
        <v>131</v>
      </c>
      <c r="J77" s="28">
        <f t="shared" ref="J77:J78" si="139">Q77</f>
        <v>2.7252000000000001</v>
      </c>
      <c r="K77" s="20">
        <v>0</v>
      </c>
      <c r="L77" s="20">
        <f t="shared" si="110"/>
        <v>0</v>
      </c>
      <c r="M77" s="20">
        <v>0</v>
      </c>
      <c r="N77" s="20">
        <v>0</v>
      </c>
      <c r="O77" s="20">
        <v>0</v>
      </c>
      <c r="P77" s="20">
        <v>0</v>
      </c>
      <c r="Q77" s="20">
        <v>2.7252000000000001</v>
      </c>
      <c r="R77" s="20">
        <f t="shared" si="128"/>
        <v>0.13626000000000002</v>
      </c>
      <c r="S77" s="20">
        <f t="shared" si="129"/>
        <v>0.68130000000000002</v>
      </c>
      <c r="T77" s="20">
        <f t="shared" si="130"/>
        <v>1.7441280000000001</v>
      </c>
      <c r="U77" s="20">
        <f t="shared" si="131"/>
        <v>0.16351199999999999</v>
      </c>
      <c r="V77" s="20">
        <v>0</v>
      </c>
      <c r="W77" s="20">
        <f t="shared" si="111"/>
        <v>0</v>
      </c>
      <c r="X77" s="20"/>
      <c r="Y77" s="20">
        <f t="shared" si="132"/>
        <v>0</v>
      </c>
      <c r="Z77" s="28"/>
      <c r="AA77" s="20">
        <f t="shared" si="137"/>
        <v>2.7252000000000001</v>
      </c>
      <c r="AB77" s="20">
        <v>0</v>
      </c>
      <c r="AC77" s="20">
        <v>0</v>
      </c>
      <c r="AD77" s="20"/>
      <c r="AE77" s="20"/>
      <c r="AF77" s="20"/>
      <c r="AG77" s="20"/>
      <c r="AH77" s="20"/>
      <c r="AI77" s="20">
        <v>2.7252000000000001</v>
      </c>
      <c r="AJ77" s="20"/>
      <c r="AK77" s="20"/>
      <c r="AL77" s="20">
        <v>0</v>
      </c>
      <c r="AM77" s="20"/>
      <c r="AN77" s="20">
        <f t="shared" si="112"/>
        <v>0</v>
      </c>
      <c r="AO77" s="20">
        <f t="shared" si="112"/>
        <v>2.7252000000000001</v>
      </c>
      <c r="AP77" s="94" t="s">
        <v>556</v>
      </c>
      <c r="AQ77" s="86"/>
      <c r="AR77" s="85">
        <f t="shared" si="8"/>
        <v>0</v>
      </c>
      <c r="AS77" s="85">
        <f t="shared" si="9"/>
        <v>0</v>
      </c>
      <c r="AT77" s="113">
        <f t="shared" si="39"/>
        <v>2.7252000000000001</v>
      </c>
      <c r="AV77" s="105">
        <f t="shared" si="40"/>
        <v>0</v>
      </c>
      <c r="AX77" s="31">
        <f t="shared" ref="AX77:AX78" si="140">J77-Q77</f>
        <v>0</v>
      </c>
      <c r="AY77" s="15"/>
      <c r="AZ77" s="118"/>
      <c r="BA77" s="118">
        <v>2.7252000000000001</v>
      </c>
      <c r="BB77" s="118"/>
      <c r="BC77" s="118"/>
      <c r="BE77" s="118">
        <f t="shared" si="11"/>
        <v>0</v>
      </c>
      <c r="BF77" s="118">
        <f t="shared" si="12"/>
        <v>0</v>
      </c>
      <c r="BG77" s="118">
        <f t="shared" si="13"/>
        <v>0</v>
      </c>
      <c r="BH77" s="118">
        <f t="shared" si="14"/>
        <v>0</v>
      </c>
      <c r="BI77" s="122">
        <f t="shared" si="15"/>
        <v>0</v>
      </c>
      <c r="BJ77" s="118">
        <f t="shared" si="114"/>
        <v>0</v>
      </c>
      <c r="BK77" s="44">
        <v>2022</v>
      </c>
      <c r="BL77" s="8" t="b">
        <f t="shared" si="115"/>
        <v>1</v>
      </c>
      <c r="BM77" s="128">
        <f t="shared" si="2"/>
        <v>2.7252000000000001</v>
      </c>
      <c r="BN77" s="129">
        <f t="shared" si="127"/>
        <v>0</v>
      </c>
      <c r="BR77" s="86">
        <f t="shared" si="116"/>
        <v>0</v>
      </c>
      <c r="BS77" s="86">
        <f t="shared" si="117"/>
        <v>0</v>
      </c>
      <c r="BT77" s="86">
        <f t="shared" si="118"/>
        <v>0</v>
      </c>
      <c r="BU77" s="86">
        <f t="shared" si="119"/>
        <v>0</v>
      </c>
      <c r="BV77" s="86">
        <f t="shared" si="120"/>
        <v>2.2871745329940967</v>
      </c>
      <c r="BW77" s="86">
        <f t="shared" si="121"/>
        <v>0</v>
      </c>
      <c r="BX77" s="86">
        <f t="shared" si="122"/>
        <v>0</v>
      </c>
      <c r="BY77" s="86">
        <f t="shared" si="123"/>
        <v>0</v>
      </c>
      <c r="BZ77" s="87">
        <f t="shared" si="124"/>
        <v>2.7446094395929159</v>
      </c>
      <c r="CB77" s="75">
        <f t="shared" si="4"/>
        <v>2.7446094395929159</v>
      </c>
      <c r="CJ77" s="70">
        <f t="shared" si="5"/>
        <v>0</v>
      </c>
      <c r="CK77" s="166"/>
      <c r="CL77" s="163"/>
      <c r="CM77" s="68"/>
      <c r="CN77" s="20"/>
      <c r="CQ77" s="177">
        <f t="shared" si="17"/>
        <v>0</v>
      </c>
      <c r="CR77" s="177">
        <f t="shared" si="18"/>
        <v>0</v>
      </c>
    </row>
    <row r="78" spans="1:96" s="8" customFormat="1" ht="20.25" x14ac:dyDescent="0.3">
      <c r="A78" s="44"/>
      <c r="B78" s="51" t="s">
        <v>71</v>
      </c>
      <c r="C78" s="76" t="s">
        <v>558</v>
      </c>
      <c r="D78" s="20" t="s">
        <v>559</v>
      </c>
      <c r="E78" s="27" t="s">
        <v>181</v>
      </c>
      <c r="F78" s="21">
        <f t="shared" si="107"/>
        <v>2022</v>
      </c>
      <c r="G78" s="46" t="str">
        <f t="shared" si="108"/>
        <v>нд</v>
      </c>
      <c r="H78" s="46">
        <f t="shared" si="109"/>
        <v>2022</v>
      </c>
      <c r="I78" s="22" t="s">
        <v>131</v>
      </c>
      <c r="J78" s="28">
        <f t="shared" si="139"/>
        <v>0.18840000000000001</v>
      </c>
      <c r="K78" s="20">
        <v>0</v>
      </c>
      <c r="L78" s="20">
        <f t="shared" si="110"/>
        <v>0</v>
      </c>
      <c r="M78" s="20">
        <v>0</v>
      </c>
      <c r="N78" s="20">
        <v>0</v>
      </c>
      <c r="O78" s="20">
        <v>0</v>
      </c>
      <c r="P78" s="20">
        <v>0</v>
      </c>
      <c r="Q78" s="20">
        <v>0.18840000000000001</v>
      </c>
      <c r="R78" s="20">
        <f t="shared" si="128"/>
        <v>9.4200000000000013E-3</v>
      </c>
      <c r="S78" s="20">
        <f t="shared" si="129"/>
        <v>4.7100000000000003E-2</v>
      </c>
      <c r="T78" s="20">
        <f t="shared" si="130"/>
        <v>0.12057600000000002</v>
      </c>
      <c r="U78" s="20">
        <f t="shared" si="131"/>
        <v>1.1304E-2</v>
      </c>
      <c r="V78" s="20">
        <v>0</v>
      </c>
      <c r="W78" s="20">
        <f t="shared" si="111"/>
        <v>0</v>
      </c>
      <c r="X78" s="20"/>
      <c r="Y78" s="20">
        <f t="shared" si="132"/>
        <v>0</v>
      </c>
      <c r="Z78" s="28"/>
      <c r="AA78" s="20">
        <f t="shared" si="137"/>
        <v>0.18840000000000001</v>
      </c>
      <c r="AB78" s="20">
        <v>0</v>
      </c>
      <c r="AC78" s="20">
        <v>0</v>
      </c>
      <c r="AD78" s="20"/>
      <c r="AE78" s="20"/>
      <c r="AF78" s="20"/>
      <c r="AG78" s="20"/>
      <c r="AH78" s="20"/>
      <c r="AI78" s="20">
        <v>0.18840000000000001</v>
      </c>
      <c r="AJ78" s="20"/>
      <c r="AK78" s="20"/>
      <c r="AL78" s="20">
        <v>0</v>
      </c>
      <c r="AM78" s="20"/>
      <c r="AN78" s="20">
        <f t="shared" si="112"/>
        <v>0</v>
      </c>
      <c r="AO78" s="20">
        <f t="shared" ref="AO78" si="141">SUM(AE78+AG78+AI78+AK78+AM78)</f>
        <v>0.18840000000000001</v>
      </c>
      <c r="AP78" s="94" t="s">
        <v>562</v>
      </c>
      <c r="AQ78" s="86"/>
      <c r="AR78" s="85">
        <f t="shared" si="8"/>
        <v>0</v>
      </c>
      <c r="AS78" s="85">
        <f t="shared" si="9"/>
        <v>0</v>
      </c>
      <c r="AT78" s="113">
        <f t="shared" si="39"/>
        <v>0.18840000000000001</v>
      </c>
      <c r="AV78" s="105">
        <f t="shared" si="40"/>
        <v>0</v>
      </c>
      <c r="AX78" s="31">
        <f t="shared" si="140"/>
        <v>0</v>
      </c>
      <c r="AY78" s="15"/>
      <c r="AZ78" s="118"/>
      <c r="BA78" s="118">
        <v>0.18840000000000001</v>
      </c>
      <c r="BB78" s="118"/>
      <c r="BC78" s="118"/>
      <c r="BE78" s="118">
        <f t="shared" si="11"/>
        <v>0</v>
      </c>
      <c r="BF78" s="118">
        <f t="shared" si="12"/>
        <v>0</v>
      </c>
      <c r="BG78" s="118">
        <f t="shared" si="13"/>
        <v>0</v>
      </c>
      <c r="BH78" s="118">
        <f t="shared" si="14"/>
        <v>0</v>
      </c>
      <c r="BI78" s="122">
        <f t="shared" si="15"/>
        <v>0</v>
      </c>
      <c r="BJ78" s="118">
        <f t="shared" si="114"/>
        <v>0</v>
      </c>
      <c r="BK78" s="44">
        <v>2022</v>
      </c>
      <c r="BL78" s="8" t="b">
        <f t="shared" si="115"/>
        <v>1</v>
      </c>
      <c r="BM78" s="128">
        <f t="shared" si="2"/>
        <v>0.18840000000000001</v>
      </c>
      <c r="BN78" s="129">
        <f t="shared" si="127"/>
        <v>0</v>
      </c>
      <c r="BR78" s="86">
        <f t="shared" si="116"/>
        <v>0</v>
      </c>
      <c r="BS78" s="86">
        <f t="shared" si="117"/>
        <v>0</v>
      </c>
      <c r="BT78" s="86">
        <f t="shared" si="118"/>
        <v>0</v>
      </c>
      <c r="BU78" s="86">
        <f t="shared" si="119"/>
        <v>0</v>
      </c>
      <c r="BV78" s="86">
        <f t="shared" si="120"/>
        <v>0.15811818656101859</v>
      </c>
      <c r="BW78" s="86">
        <f t="shared" si="121"/>
        <v>0</v>
      </c>
      <c r="BX78" s="86">
        <f t="shared" si="122"/>
        <v>0</v>
      </c>
      <c r="BY78" s="86">
        <f t="shared" si="123"/>
        <v>0</v>
      </c>
      <c r="BZ78" s="87">
        <f t="shared" si="124"/>
        <v>0.1897418238732223</v>
      </c>
      <c r="CB78" s="75">
        <f t="shared" si="4"/>
        <v>0.1897418238732223</v>
      </c>
      <c r="CJ78" s="70">
        <f t="shared" si="5"/>
        <v>-1.9081958235744878E-17</v>
      </c>
      <c r="CK78" s="166"/>
      <c r="CL78" s="163"/>
      <c r="CM78" s="68"/>
      <c r="CN78" s="20"/>
      <c r="CQ78" s="177">
        <f t="shared" si="17"/>
        <v>0</v>
      </c>
      <c r="CR78" s="177">
        <f t="shared" si="18"/>
        <v>0</v>
      </c>
    </row>
    <row r="79" spans="1:96" ht="20.25" x14ac:dyDescent="0.3">
      <c r="A79" s="44" t="s">
        <v>525</v>
      </c>
      <c r="B79" s="51" t="s">
        <v>71</v>
      </c>
      <c r="C79" s="71" t="s">
        <v>159</v>
      </c>
      <c r="D79" s="20" t="s">
        <v>353</v>
      </c>
      <c r="E79" s="27" t="s">
        <v>483</v>
      </c>
      <c r="F79" s="21" t="str">
        <f>IF(K79&gt;0,2018,IF(AC79&gt;0,2019,IF(AE79&gt;0,2020,IF(AG79&gt;0,2021,IF(AI79&gt;0,2022,IF(AK79&gt;0,2023,IF(AM79&gt;0,2024,"нд")))))))</f>
        <v>нд</v>
      </c>
      <c r="G79" s="46">
        <f>IF(AND(L79-(K79+AB79+AD79+AF79+AH79+AJ79+AL79)&lt;0.1,L79-(K79+AB79+AD79+AF79+AH79+AJ79+AL79)&gt;0.00001),"Ошибка в -",IF((K79+AB79+AD79+AF79+AH79+AJ79+AL79)&gt;L79,"Ошибка в +",IF(L79&gt;(K79+AB79+AD79+AF79+AH79+AJ79+AL79),2025,IF(AL79&gt;0,2024,IF(AJ79&gt;0,2023,IF(AH79&gt;0,2022,IF(AF79&gt;0,2021,IF(AD79&gt;0,2020,IF(AB79&gt;0,2019,IF(K79&gt;0,2018,"нд"))))))))))</f>
        <v>2023</v>
      </c>
      <c r="H79" s="46" t="str">
        <f>IF(AND((Q79-(K79+AC79+AE79+AG79+AI79+AK79+AM79))&lt;0.1,Q79-(K79+AC79+AE79+AG79+AI79+AK79+AM79)&gt;0.0001),"Ошибка в -",IF((K79+AC79+AE79+AG79+AI79+AK79+AM79)&gt;Q79,"Ошибка в +",IF(Q79&gt;(K79+AC79+AE79+AG79+AI79+AK79+AM79),2025,IF(AM79&gt;0,2024,IF(AK79&gt;0,2023,IF(AI79&gt;0,2022,IF(AG79&gt;0,2021,IF(AE79&gt;0,2020,IF(AC79&gt;0,2019,IF(K79&gt;0,2018,"нд"))))))))))</f>
        <v>нд</v>
      </c>
      <c r="I79" s="22" t="s">
        <v>131</v>
      </c>
      <c r="J79" s="20" t="s">
        <v>131</v>
      </c>
      <c r="K79" s="20">
        <v>0</v>
      </c>
      <c r="L79" s="20">
        <f t="shared" si="110"/>
        <v>127.90000000000002</v>
      </c>
      <c r="M79" s="20">
        <v>6.3950000000000005</v>
      </c>
      <c r="N79" s="20">
        <v>31.975000000000001</v>
      </c>
      <c r="O79" s="20">
        <v>81.856000000000009</v>
      </c>
      <c r="P79" s="20">
        <v>7.6740000000000004</v>
      </c>
      <c r="Q79" s="20">
        <v>0</v>
      </c>
      <c r="R79" s="20">
        <f t="shared" si="128"/>
        <v>0</v>
      </c>
      <c r="S79" s="20">
        <f>0.25*Q79</f>
        <v>0</v>
      </c>
      <c r="T79" s="20">
        <f>0.64*Q79</f>
        <v>0</v>
      </c>
      <c r="U79" s="20">
        <f>0.06*Q79</f>
        <v>0</v>
      </c>
      <c r="V79" s="20">
        <v>0</v>
      </c>
      <c r="W79" s="20">
        <f>L79-K79</f>
        <v>127.90000000000002</v>
      </c>
      <c r="X79" s="20"/>
      <c r="Y79" s="20">
        <f>W79-(AB79+AD79+AF79)</f>
        <v>127.90000000000002</v>
      </c>
      <c r="Z79" s="28"/>
      <c r="AA79" s="20">
        <f>Q79-(K79+AC79+AE79+AG79)</f>
        <v>0</v>
      </c>
      <c r="AB79" s="20">
        <v>0</v>
      </c>
      <c r="AC79" s="20">
        <v>0</v>
      </c>
      <c r="AD79" s="20"/>
      <c r="AE79" s="20"/>
      <c r="AF79" s="20"/>
      <c r="AG79" s="20"/>
      <c r="AH79" s="20">
        <v>8.1999999999999993</v>
      </c>
      <c r="AI79" s="20"/>
      <c r="AJ79" s="20">
        <v>119.7</v>
      </c>
      <c r="AK79" s="20"/>
      <c r="AL79" s="20"/>
      <c r="AM79" s="20"/>
      <c r="AN79" s="20">
        <f>SUM(AD79+AF79+AH79+AJ79+AL79)</f>
        <v>127.9</v>
      </c>
      <c r="AO79" s="20">
        <f>SUM(AE79+AG79+AI79+AK79+AM79)</f>
        <v>0</v>
      </c>
      <c r="AP79" s="94" t="s">
        <v>550</v>
      </c>
      <c r="AQ79" s="86"/>
      <c r="AR79" s="85">
        <f>L79-(K79+AB79+AD79+AF79+AH79+AJ79+AL79)</f>
        <v>0</v>
      </c>
      <c r="AS79" s="85">
        <f>Q79-(K79+AC79+AE79+AG79+AI79+AK79+AM79)</f>
        <v>0</v>
      </c>
      <c r="AT79" s="113">
        <f>Q79-L79</f>
        <v>-127.90000000000002</v>
      </c>
      <c r="AV79" s="105">
        <f t="shared" si="40"/>
        <v>0</v>
      </c>
      <c r="AX79" s="31"/>
      <c r="AY79" s="15"/>
      <c r="AZ79" s="118"/>
      <c r="BA79" s="118"/>
      <c r="BB79" s="118"/>
      <c r="BC79" s="118"/>
      <c r="BD79" s="8"/>
      <c r="BE79" s="118">
        <f t="shared" si="11"/>
        <v>0</v>
      </c>
      <c r="BF79" s="118">
        <f t="shared" si="12"/>
        <v>0</v>
      </c>
      <c r="BG79" s="118">
        <f t="shared" si="13"/>
        <v>0</v>
      </c>
      <c r="BH79" s="118">
        <f t="shared" si="14"/>
        <v>0</v>
      </c>
      <c r="BI79" s="122">
        <f t="shared" si="15"/>
        <v>0</v>
      </c>
      <c r="BJ79" s="118">
        <f t="shared" si="114"/>
        <v>0</v>
      </c>
      <c r="BK79" s="108" t="s">
        <v>131</v>
      </c>
      <c r="BL79" s="8" t="b">
        <f t="shared" si="115"/>
        <v>1</v>
      </c>
      <c r="BM79" s="128">
        <f t="shared" si="2"/>
        <v>0</v>
      </c>
      <c r="BN79" s="129">
        <f t="shared" si="127"/>
        <v>0</v>
      </c>
      <c r="BR79" s="73">
        <f>K79/$BR$15</f>
        <v>0</v>
      </c>
      <c r="BS79" s="73">
        <f>AC79/$BS$15</f>
        <v>0</v>
      </c>
      <c r="BT79" s="73">
        <f>AE79/$BT$15</f>
        <v>0</v>
      </c>
      <c r="BU79" s="73">
        <f>AG79/$BU$15</f>
        <v>0</v>
      </c>
      <c r="BV79" s="73">
        <f>AI79/$BV$15</f>
        <v>0</v>
      </c>
      <c r="BW79" s="73">
        <f>AK79/$BW$15</f>
        <v>0</v>
      </c>
      <c r="BX79" s="73">
        <f>AM79/$BX$15</f>
        <v>0</v>
      </c>
      <c r="BY79" s="73">
        <f>(Q79-K79-AC79-AE79-AG79-AI79-AK79-AM79)/$BY$15</f>
        <v>0</v>
      </c>
      <c r="BZ79" s="74">
        <f t="shared" si="124"/>
        <v>0</v>
      </c>
      <c r="CB79" s="75">
        <f>((Q79-(K79+AC79+AE79+AG79+AI79+AK79+AM79))/$BY$15+K79/$BR$15+AC79/$BS$15+AE79/$BT$15+AG79/$BU$15+AI79/$BV$15+AK79/$BW$15+AM79/$BX$15)*1.2</f>
        <v>0</v>
      </c>
      <c r="CE79" s="8"/>
      <c r="CJ79" s="70">
        <f>Q79-R79-S79-T79-U79</f>
        <v>0</v>
      </c>
      <c r="CL79" s="163"/>
      <c r="CM79" s="68"/>
      <c r="CN79" s="20"/>
      <c r="CQ79" s="177">
        <f t="shared" si="17"/>
        <v>127.9</v>
      </c>
      <c r="CR79" s="177">
        <f t="shared" si="18"/>
        <v>0</v>
      </c>
    </row>
    <row r="80" spans="1:96" ht="20.25" x14ac:dyDescent="0.3">
      <c r="A80" s="44" t="s">
        <v>525</v>
      </c>
      <c r="B80" s="51" t="s">
        <v>71</v>
      </c>
      <c r="C80" s="71" t="s">
        <v>152</v>
      </c>
      <c r="D80" s="20" t="s">
        <v>187</v>
      </c>
      <c r="E80" s="27" t="s">
        <v>483</v>
      </c>
      <c r="F80" s="21" t="str">
        <f>IF(K80&gt;0,2018,IF(AC80&gt;0,2019,IF(AE80&gt;0,2020,IF(AG80&gt;0,2021,IF(AI80&gt;0,2022,IF(AK80&gt;0,2023,IF(AM80&gt;0,2024,"нд")))))))</f>
        <v>нд</v>
      </c>
      <c r="G80" s="46">
        <f>IF(AND(L80-(K80+AB80+AD80+AF80+AH80+AJ80+AL80)&lt;0.1,L80-(K80+AB80+AD80+AF80+AH80+AJ80+AL80)&gt;0.00001),"Ошибка в -",IF((K80+AB80+AD80+AF80+AH80+AJ80+AL80)&gt;L80,"Ошибка в +",IF(L80&gt;(K80+AB80+AD80+AF80+AH80+AJ80+AL80),2025,IF(AL80&gt;0,2024,IF(AJ80&gt;0,2023,IF(AH80&gt;0,2022,IF(AF80&gt;0,2021,IF(AD80&gt;0,2020,IF(AB80&gt;0,2019,IF(K80&gt;0,2018,"нд"))))))))))</f>
        <v>2025</v>
      </c>
      <c r="H80" s="46" t="str">
        <f>IF(AND((Q80-(K80+AC80+AE80+AG80+AI80+AK80+AM80))&lt;0.1,Q80-(K80+AC80+AE80+AG80+AI80+AK80+AM80)&gt;0.0001),"Ошибка в -",IF((K80+AC80+AE80+AG80+AI80+AK80+AM80)&gt;Q80,"Ошибка в +",IF(Q80&gt;(K80+AC80+AE80+AG80+AI80+AK80+AM80),2025,IF(AM80&gt;0,2024,IF(AK80&gt;0,2023,IF(AI80&gt;0,2022,IF(AG80&gt;0,2021,IF(AE80&gt;0,2020,IF(AC80&gt;0,2019,IF(K80&gt;0,2018,"нд"))))))))))</f>
        <v>нд</v>
      </c>
      <c r="I80" s="22" t="s">
        <v>131</v>
      </c>
      <c r="J80" s="20" t="s">
        <v>131</v>
      </c>
      <c r="K80" s="20">
        <v>0</v>
      </c>
      <c r="L80" s="20">
        <f t="shared" si="110"/>
        <v>315.3</v>
      </c>
      <c r="M80" s="20">
        <v>15.765000000000001</v>
      </c>
      <c r="N80" s="20">
        <v>78.825000000000003</v>
      </c>
      <c r="O80" s="20">
        <v>201.792</v>
      </c>
      <c r="P80" s="20">
        <v>18.917999999999999</v>
      </c>
      <c r="Q80" s="20">
        <v>0</v>
      </c>
      <c r="R80" s="20">
        <f t="shared" si="128"/>
        <v>0</v>
      </c>
      <c r="S80" s="20">
        <f>0.25*Q80</f>
        <v>0</v>
      </c>
      <c r="T80" s="20">
        <f>0.64*Q80</f>
        <v>0</v>
      </c>
      <c r="U80" s="20">
        <f>0.06*Q80</f>
        <v>0</v>
      </c>
      <c r="V80" s="20">
        <v>0</v>
      </c>
      <c r="W80" s="20">
        <f>L80-K80</f>
        <v>315.3</v>
      </c>
      <c r="X80" s="20"/>
      <c r="Y80" s="20">
        <f>W80-(AB80+AD80+AF80)</f>
        <v>315.3</v>
      </c>
      <c r="Z80" s="28"/>
      <c r="AA80" s="20">
        <f>Q80-(K80+AC80+AE80+AG80)</f>
        <v>0</v>
      </c>
      <c r="AB80" s="20">
        <v>0</v>
      </c>
      <c r="AC80" s="20">
        <v>0</v>
      </c>
      <c r="AD80" s="20"/>
      <c r="AE80" s="20"/>
      <c r="AF80" s="20"/>
      <c r="AG80" s="20"/>
      <c r="AH80" s="20"/>
      <c r="AI80" s="20"/>
      <c r="AJ80" s="20"/>
      <c r="AK80" s="20"/>
      <c r="AL80" s="20">
        <v>15</v>
      </c>
      <c r="AM80" s="20"/>
      <c r="AN80" s="20">
        <f>SUM(AD80+AF80+AH80+AJ80+AL80)</f>
        <v>15</v>
      </c>
      <c r="AO80" s="20">
        <f>SUM(AE80+AG80+AI80+AK80+AM80)</f>
        <v>0</v>
      </c>
      <c r="AP80" s="94" t="s">
        <v>550</v>
      </c>
      <c r="AQ80" s="86"/>
      <c r="AR80" s="85">
        <f>L80-(K80+AB80+AD80+AF80+AH80+AJ80+AL80)</f>
        <v>300.3</v>
      </c>
      <c r="AS80" s="85">
        <f>Q80-(K80+AC80+AE80+AG80+AI80+AK80+AM80)</f>
        <v>0</v>
      </c>
      <c r="AT80" s="113">
        <f>Q80-L80</f>
        <v>-315.3</v>
      </c>
      <c r="AV80" s="105">
        <f t="shared" si="40"/>
        <v>0</v>
      </c>
      <c r="AX80" s="31"/>
      <c r="AY80" s="15"/>
      <c r="AZ80" s="118"/>
      <c r="BA80" s="118"/>
      <c r="BB80" s="118"/>
      <c r="BC80" s="118"/>
      <c r="BD80" s="8"/>
      <c r="BE80" s="118">
        <f t="shared" si="11"/>
        <v>0</v>
      </c>
      <c r="BF80" s="118">
        <f t="shared" si="12"/>
        <v>0</v>
      </c>
      <c r="BG80" s="118">
        <f t="shared" si="13"/>
        <v>0</v>
      </c>
      <c r="BH80" s="118">
        <f t="shared" si="14"/>
        <v>0</v>
      </c>
      <c r="BI80" s="122">
        <f t="shared" si="15"/>
        <v>0</v>
      </c>
      <c r="BJ80" s="118">
        <f t="shared" si="114"/>
        <v>0</v>
      </c>
      <c r="BK80" s="108" t="s">
        <v>131</v>
      </c>
      <c r="BL80" s="8" t="b">
        <f t="shared" si="115"/>
        <v>1</v>
      </c>
      <c r="BM80" s="128">
        <f t="shared" si="2"/>
        <v>0</v>
      </c>
      <c r="BN80" s="129">
        <f t="shared" si="127"/>
        <v>0</v>
      </c>
      <c r="BR80" s="73">
        <f>K80/$BR$15</f>
        <v>0</v>
      </c>
      <c r="BS80" s="73">
        <f>AC80/$BS$15</f>
        <v>0</v>
      </c>
      <c r="BT80" s="73">
        <f>AE80/$BT$15</f>
        <v>0</v>
      </c>
      <c r="BU80" s="73">
        <f>AG80/$BU$15</f>
        <v>0</v>
      </c>
      <c r="BV80" s="73">
        <f>AI80/$BV$15</f>
        <v>0</v>
      </c>
      <c r="BW80" s="73">
        <f>AK80/$BW$15</f>
        <v>0</v>
      </c>
      <c r="BX80" s="73">
        <f>AM80/$BX$15</f>
        <v>0</v>
      </c>
      <c r="BY80" s="73">
        <f>(Q80-K80-AC80-AE80-AG80-AI80-AK80-AM80)/$BY$15</f>
        <v>0</v>
      </c>
      <c r="BZ80" s="74">
        <f t="shared" si="124"/>
        <v>0</v>
      </c>
      <c r="CB80" s="75">
        <f>((Q80-(K80+AC80+AE80+AG80+AI80+AK80+AM80))/$BY$15+K80/$BR$15+AC80/$BS$15+AE80/$BT$15+AG80/$BU$15+AI80/$BV$15+AK80/$BW$15+AM80/$BX$15)*1.2</f>
        <v>0</v>
      </c>
      <c r="CE80" s="8"/>
      <c r="CJ80" s="70">
        <f>Q80-R80-S80-T80-U80</f>
        <v>0</v>
      </c>
      <c r="CL80" s="163"/>
      <c r="CM80" s="68"/>
      <c r="CN80" s="20"/>
      <c r="CQ80" s="177">
        <f t="shared" si="17"/>
        <v>15</v>
      </c>
      <c r="CR80" s="177">
        <f t="shared" si="18"/>
        <v>0</v>
      </c>
    </row>
    <row r="81" spans="1:96" s="8" customFormat="1" ht="83.25" customHeight="1" x14ac:dyDescent="0.3">
      <c r="A81" s="44" t="s">
        <v>525</v>
      </c>
      <c r="B81" s="51" t="s">
        <v>71</v>
      </c>
      <c r="C81" s="71" t="s">
        <v>490</v>
      </c>
      <c r="D81" s="20" t="s">
        <v>220</v>
      </c>
      <c r="E81" s="27" t="s">
        <v>483</v>
      </c>
      <c r="F81" s="21" t="str">
        <f t="shared" si="107"/>
        <v>нд</v>
      </c>
      <c r="G81" s="46" t="str">
        <f t="shared" si="108"/>
        <v>Ошибка в +</v>
      </c>
      <c r="H81" s="46" t="str">
        <f t="shared" si="109"/>
        <v>нд</v>
      </c>
      <c r="I81" s="22" t="s">
        <v>131</v>
      </c>
      <c r="J81" s="20" t="s">
        <v>131</v>
      </c>
      <c r="K81" s="20">
        <v>0</v>
      </c>
      <c r="L81" s="20">
        <f t="shared" si="110"/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f t="shared" si="128"/>
        <v>0</v>
      </c>
      <c r="S81" s="20">
        <f t="shared" ref="S81:S82" si="142">0.25*Q81</f>
        <v>0</v>
      </c>
      <c r="T81" s="20">
        <f t="shared" ref="T81:T82" si="143">0.64*Q81</f>
        <v>0</v>
      </c>
      <c r="U81" s="20">
        <f t="shared" ref="U81:U82" si="144">0.06*Q81</f>
        <v>0</v>
      </c>
      <c r="V81" s="20">
        <v>0</v>
      </c>
      <c r="W81" s="20">
        <f t="shared" si="111"/>
        <v>0</v>
      </c>
      <c r="X81" s="20"/>
      <c r="Y81" s="20">
        <f t="shared" si="132"/>
        <v>-69.8</v>
      </c>
      <c r="Z81" s="28"/>
      <c r="AA81" s="20">
        <f t="shared" si="133"/>
        <v>0</v>
      </c>
      <c r="AB81" s="20">
        <v>0</v>
      </c>
      <c r="AC81" s="20">
        <v>0</v>
      </c>
      <c r="AD81" s="174">
        <v>69.8</v>
      </c>
      <c r="AE81" s="20"/>
      <c r="AF81" s="20"/>
      <c r="AG81" s="20"/>
      <c r="AH81" s="20"/>
      <c r="AI81" s="20"/>
      <c r="AJ81" s="20"/>
      <c r="AK81" s="20"/>
      <c r="AL81" s="20">
        <v>0</v>
      </c>
      <c r="AM81" s="20"/>
      <c r="AN81" s="20">
        <f t="shared" si="112"/>
        <v>69.8</v>
      </c>
      <c r="AO81" s="20">
        <f t="shared" si="112"/>
        <v>0</v>
      </c>
      <c r="AP81" s="94" t="s">
        <v>517</v>
      </c>
      <c r="AQ81" s="86"/>
      <c r="AR81" s="85">
        <f t="shared" si="8"/>
        <v>-69.8</v>
      </c>
      <c r="AS81" s="85">
        <f t="shared" si="9"/>
        <v>0</v>
      </c>
      <c r="AT81" s="113">
        <f t="shared" si="39"/>
        <v>0</v>
      </c>
      <c r="AV81" s="105">
        <f t="shared" si="40"/>
        <v>0</v>
      </c>
      <c r="AX81" s="31"/>
      <c r="AY81" s="15"/>
      <c r="AZ81" s="118"/>
      <c r="BA81" s="118"/>
      <c r="BB81" s="118"/>
      <c r="BC81" s="118"/>
      <c r="BE81" s="118">
        <f t="shared" si="11"/>
        <v>0</v>
      </c>
      <c r="BF81" s="118">
        <f t="shared" si="12"/>
        <v>0</v>
      </c>
      <c r="BG81" s="118">
        <f t="shared" si="13"/>
        <v>0</v>
      </c>
      <c r="BH81" s="118">
        <f t="shared" si="14"/>
        <v>0</v>
      </c>
      <c r="BI81" s="122">
        <f t="shared" si="15"/>
        <v>0</v>
      </c>
      <c r="BJ81" s="118">
        <f t="shared" si="114"/>
        <v>0</v>
      </c>
      <c r="BK81" s="44" t="s">
        <v>131</v>
      </c>
      <c r="BL81" s="8" t="b">
        <f t="shared" si="115"/>
        <v>1</v>
      </c>
      <c r="BM81" s="128">
        <f t="shared" si="2"/>
        <v>0</v>
      </c>
      <c r="BN81" s="129">
        <f t="shared" si="127"/>
        <v>0</v>
      </c>
      <c r="BR81" s="86">
        <f t="shared" si="116"/>
        <v>0</v>
      </c>
      <c r="BS81" s="86">
        <f t="shared" si="117"/>
        <v>0</v>
      </c>
      <c r="BT81" s="86">
        <f t="shared" si="118"/>
        <v>0</v>
      </c>
      <c r="BU81" s="86">
        <f t="shared" si="119"/>
        <v>0</v>
      </c>
      <c r="BV81" s="86">
        <f t="shared" si="120"/>
        <v>0</v>
      </c>
      <c r="BW81" s="86">
        <f t="shared" si="121"/>
        <v>0</v>
      </c>
      <c r="BX81" s="86">
        <f t="shared" si="122"/>
        <v>0</v>
      </c>
      <c r="BY81" s="86">
        <f t="shared" si="123"/>
        <v>0</v>
      </c>
      <c r="BZ81" s="87">
        <f t="shared" si="124"/>
        <v>0</v>
      </c>
      <c r="CB81" s="75">
        <f t="shared" si="4"/>
        <v>0</v>
      </c>
      <c r="CJ81" s="70">
        <f t="shared" si="5"/>
        <v>0</v>
      </c>
      <c r="CK81" s="166"/>
      <c r="CL81" s="163"/>
      <c r="CM81" s="68"/>
      <c r="CN81" s="20">
        <v>69.8</v>
      </c>
      <c r="CQ81" s="177">
        <f t="shared" si="17"/>
        <v>0</v>
      </c>
      <c r="CR81" s="177">
        <f t="shared" si="18"/>
        <v>-69.8</v>
      </c>
    </row>
    <row r="82" spans="1:96" s="8" customFormat="1" ht="83.25" customHeight="1" x14ac:dyDescent="0.3">
      <c r="A82" s="44" t="s">
        <v>525</v>
      </c>
      <c r="B82" s="51" t="s">
        <v>71</v>
      </c>
      <c r="C82" s="71" t="s">
        <v>142</v>
      </c>
      <c r="D82" s="20" t="s">
        <v>221</v>
      </c>
      <c r="E82" s="27" t="s">
        <v>483</v>
      </c>
      <c r="F82" s="21" t="str">
        <f t="shared" si="107"/>
        <v>нд</v>
      </c>
      <c r="G82" s="46" t="str">
        <f t="shared" si="108"/>
        <v>нд</v>
      </c>
      <c r="H82" s="46" t="str">
        <f t="shared" si="109"/>
        <v>нд</v>
      </c>
      <c r="I82" s="22" t="s">
        <v>131</v>
      </c>
      <c r="J82" s="20" t="s">
        <v>131</v>
      </c>
      <c r="K82" s="20">
        <v>0</v>
      </c>
      <c r="L82" s="20">
        <f t="shared" si="110"/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f t="shared" si="128"/>
        <v>0</v>
      </c>
      <c r="S82" s="20">
        <f t="shared" si="142"/>
        <v>0</v>
      </c>
      <c r="T82" s="20">
        <f t="shared" si="143"/>
        <v>0</v>
      </c>
      <c r="U82" s="20">
        <f t="shared" si="144"/>
        <v>0</v>
      </c>
      <c r="V82" s="20">
        <v>0</v>
      </c>
      <c r="W82" s="20">
        <f t="shared" si="111"/>
        <v>0</v>
      </c>
      <c r="X82" s="20"/>
      <c r="Y82" s="20">
        <f t="shared" si="132"/>
        <v>0</v>
      </c>
      <c r="Z82" s="28"/>
      <c r="AA82" s="20">
        <f t="shared" si="133"/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/>
      <c r="AH82" s="20">
        <v>0</v>
      </c>
      <c r="AI82" s="20"/>
      <c r="AJ82" s="20">
        <v>0</v>
      </c>
      <c r="AK82" s="20"/>
      <c r="AL82" s="20">
        <v>0</v>
      </c>
      <c r="AM82" s="20"/>
      <c r="AN82" s="20">
        <f t="shared" si="112"/>
        <v>0</v>
      </c>
      <c r="AO82" s="20">
        <f t="shared" si="112"/>
        <v>0</v>
      </c>
      <c r="AP82" s="94" t="s">
        <v>499</v>
      </c>
      <c r="AQ82" s="86"/>
      <c r="AR82" s="85">
        <f t="shared" si="8"/>
        <v>0</v>
      </c>
      <c r="AS82" s="85">
        <f t="shared" si="9"/>
        <v>0</v>
      </c>
      <c r="AT82" s="113">
        <f t="shared" si="39"/>
        <v>0</v>
      </c>
      <c r="AV82" s="105">
        <f t="shared" si="40"/>
        <v>0</v>
      </c>
      <c r="AX82" s="31"/>
      <c r="AY82" s="15"/>
      <c r="AZ82" s="118"/>
      <c r="BA82" s="118"/>
      <c r="BB82" s="118"/>
      <c r="BC82" s="118"/>
      <c r="BE82" s="118">
        <f t="shared" si="11"/>
        <v>0</v>
      </c>
      <c r="BF82" s="118">
        <f t="shared" si="12"/>
        <v>0</v>
      </c>
      <c r="BG82" s="118">
        <f t="shared" si="13"/>
        <v>0</v>
      </c>
      <c r="BH82" s="118">
        <f t="shared" si="14"/>
        <v>0</v>
      </c>
      <c r="BI82" s="122">
        <f t="shared" si="15"/>
        <v>0</v>
      </c>
      <c r="BJ82" s="118">
        <f t="shared" si="114"/>
        <v>0</v>
      </c>
      <c r="BK82" s="44" t="s">
        <v>131</v>
      </c>
      <c r="BL82" s="8" t="b">
        <f t="shared" si="115"/>
        <v>1</v>
      </c>
      <c r="BM82" s="128">
        <f t="shared" ref="BM82:BM145" si="145">K82+AC82+AE82+AG82+AI82+AK82+AM82</f>
        <v>0</v>
      </c>
      <c r="BN82" s="129">
        <f t="shared" si="127"/>
        <v>0</v>
      </c>
      <c r="BR82" s="86"/>
      <c r="BS82" s="86"/>
      <c r="BT82" s="86"/>
      <c r="BU82" s="86"/>
      <c r="BV82" s="86"/>
      <c r="BW82" s="86"/>
      <c r="BX82" s="86"/>
      <c r="BY82" s="86"/>
      <c r="BZ82" s="87"/>
      <c r="CB82" s="101"/>
      <c r="CJ82" s="70">
        <f t="shared" si="5"/>
        <v>0</v>
      </c>
      <c r="CK82" s="166"/>
      <c r="CL82" s="163"/>
      <c r="CM82" s="68"/>
      <c r="CN82" s="20"/>
      <c r="CQ82" s="177">
        <f t="shared" si="17"/>
        <v>0</v>
      </c>
      <c r="CR82" s="177">
        <f t="shared" si="18"/>
        <v>0</v>
      </c>
    </row>
    <row r="83" spans="1:96" ht="49.5" x14ac:dyDescent="0.3">
      <c r="A83" s="44" t="s">
        <v>525</v>
      </c>
      <c r="B83" s="51" t="s">
        <v>71</v>
      </c>
      <c r="C83" s="71" t="s">
        <v>155</v>
      </c>
      <c r="D83" s="20" t="s">
        <v>222</v>
      </c>
      <c r="E83" s="27" t="s">
        <v>483</v>
      </c>
      <c r="F83" s="21" t="str">
        <f t="shared" si="107"/>
        <v>нд</v>
      </c>
      <c r="G83" s="46" t="str">
        <f t="shared" si="108"/>
        <v>Ошибка в +</v>
      </c>
      <c r="H83" s="46" t="str">
        <f t="shared" si="109"/>
        <v>нд</v>
      </c>
      <c r="I83" s="22" t="s">
        <v>131</v>
      </c>
      <c r="J83" s="20" t="s">
        <v>131</v>
      </c>
      <c r="K83" s="20">
        <v>0</v>
      </c>
      <c r="L83" s="20">
        <f t="shared" si="110"/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f t="shared" si="128"/>
        <v>0</v>
      </c>
      <c r="S83" s="20">
        <f t="shared" si="129"/>
        <v>0</v>
      </c>
      <c r="T83" s="20">
        <f t="shared" si="130"/>
        <v>0</v>
      </c>
      <c r="U83" s="20">
        <f t="shared" si="131"/>
        <v>0</v>
      </c>
      <c r="V83" s="20">
        <v>0</v>
      </c>
      <c r="W83" s="20">
        <f t="shared" si="111"/>
        <v>0</v>
      </c>
      <c r="X83" s="20"/>
      <c r="Y83" s="20">
        <f t="shared" si="132"/>
        <v>-142.30000000000001</v>
      </c>
      <c r="Z83" s="28"/>
      <c r="AA83" s="20">
        <f t="shared" si="133"/>
        <v>0</v>
      </c>
      <c r="AB83" s="20"/>
      <c r="AC83" s="20"/>
      <c r="AD83" s="174">
        <v>142.30000000000001</v>
      </c>
      <c r="AE83" s="20"/>
      <c r="AF83" s="20"/>
      <c r="AG83" s="20"/>
      <c r="AH83" s="20"/>
      <c r="AI83" s="20"/>
      <c r="AJ83" s="20"/>
      <c r="AK83" s="20"/>
      <c r="AL83" s="20"/>
      <c r="AM83" s="20"/>
      <c r="AN83" s="20">
        <f t="shared" si="112"/>
        <v>142.30000000000001</v>
      </c>
      <c r="AO83" s="20">
        <f t="shared" si="113"/>
        <v>0</v>
      </c>
      <c r="AP83" s="94" t="s">
        <v>499</v>
      </c>
      <c r="AQ83" s="86"/>
      <c r="AR83" s="85">
        <f t="shared" si="8"/>
        <v>-142.30000000000001</v>
      </c>
      <c r="AS83" s="85">
        <f t="shared" si="9"/>
        <v>0</v>
      </c>
      <c r="AT83" s="113">
        <f t="shared" si="39"/>
        <v>0</v>
      </c>
      <c r="AV83" s="105">
        <f t="shared" si="40"/>
        <v>0</v>
      </c>
      <c r="AX83" s="31"/>
      <c r="AY83" s="15"/>
      <c r="AZ83" s="118"/>
      <c r="BA83" s="118"/>
      <c r="BB83" s="118"/>
      <c r="BC83" s="118"/>
      <c r="BD83" s="8"/>
      <c r="BE83" s="118">
        <f t="shared" si="11"/>
        <v>0</v>
      </c>
      <c r="BF83" s="118">
        <f t="shared" si="12"/>
        <v>0</v>
      </c>
      <c r="BG83" s="118">
        <f t="shared" si="13"/>
        <v>0</v>
      </c>
      <c r="BH83" s="118">
        <f t="shared" si="14"/>
        <v>0</v>
      </c>
      <c r="BI83" s="122">
        <f t="shared" si="15"/>
        <v>0</v>
      </c>
      <c r="BJ83" s="118">
        <f t="shared" si="114"/>
        <v>0</v>
      </c>
      <c r="BK83" s="108" t="s">
        <v>131</v>
      </c>
      <c r="BL83" s="8" t="b">
        <f t="shared" si="115"/>
        <v>1</v>
      </c>
      <c r="BM83" s="128">
        <f t="shared" si="145"/>
        <v>0</v>
      </c>
      <c r="BN83" s="129">
        <f t="shared" si="127"/>
        <v>0</v>
      </c>
      <c r="BR83" s="73">
        <f t="shared" ref="BR83:BR104" si="146">K83/$BR$15</f>
        <v>0</v>
      </c>
      <c r="BS83" s="73">
        <f t="shared" ref="BS83:BS104" si="147">AC83/$BS$15</f>
        <v>0</v>
      </c>
      <c r="BT83" s="73">
        <f t="shared" ref="BT83:BT104" si="148">AE83/$BT$15</f>
        <v>0</v>
      </c>
      <c r="BU83" s="73">
        <f t="shared" ref="BU83:BU104" si="149">AG83/$BU$15</f>
        <v>0</v>
      </c>
      <c r="BV83" s="73">
        <f t="shared" ref="BV83:BV104" si="150">AI83/$BV$15</f>
        <v>0</v>
      </c>
      <c r="BW83" s="73">
        <f t="shared" ref="BW83:BW104" si="151">AK83/$BW$15</f>
        <v>0</v>
      </c>
      <c r="BX83" s="73">
        <f t="shared" ref="BX83:BX104" si="152">AM83/$BX$15</f>
        <v>0</v>
      </c>
      <c r="BY83" s="73">
        <f t="shared" ref="BY83:BY104" si="153">(Q83-K83-AC83-AE83-AG83-AI83-AK83-AM83)/$BY$15</f>
        <v>0</v>
      </c>
      <c r="BZ83" s="74">
        <f t="shared" si="124"/>
        <v>0</v>
      </c>
      <c r="CB83" s="75">
        <f t="shared" ref="CB83:CB146" si="154">((Q83-(K83+AC83+AE83+AG83+AI83+AK83+AM83))/$BY$15+K83/$BR$15+AC83/$BS$15+AE83/$BT$15+AG83/$BU$15+AI83/$BV$15+AK83/$BW$15+AM83/$BX$15)*1.2</f>
        <v>0</v>
      </c>
      <c r="CE83" s="8"/>
      <c r="CJ83" s="70">
        <f t="shared" si="5"/>
        <v>0</v>
      </c>
      <c r="CL83" s="163"/>
      <c r="CM83" s="68"/>
      <c r="CN83" s="20">
        <v>142.30000000000001</v>
      </c>
      <c r="CQ83" s="177">
        <f t="shared" ref="CQ83:CQ146" si="155">AE83+AG83+AH83+AJ83+AL83</f>
        <v>0</v>
      </c>
      <c r="CR83" s="177">
        <f t="shared" ref="CR83:CR146" si="156">CQ83-AN83</f>
        <v>-142.30000000000001</v>
      </c>
    </row>
    <row r="84" spans="1:96" ht="51" customHeight="1" x14ac:dyDescent="0.3">
      <c r="A84" s="44" t="s">
        <v>525</v>
      </c>
      <c r="B84" s="51" t="s">
        <v>71</v>
      </c>
      <c r="C84" s="71" t="s">
        <v>163</v>
      </c>
      <c r="D84" s="20" t="s">
        <v>304</v>
      </c>
      <c r="E84" s="27" t="s">
        <v>483</v>
      </c>
      <c r="F84" s="21" t="str">
        <f t="shared" si="107"/>
        <v>нд</v>
      </c>
      <c r="G84" s="46" t="str">
        <f t="shared" si="108"/>
        <v>нд</v>
      </c>
      <c r="H84" s="46" t="str">
        <f t="shared" si="109"/>
        <v>нд</v>
      </c>
      <c r="I84" s="29" t="s">
        <v>131</v>
      </c>
      <c r="J84" s="28" t="s">
        <v>131</v>
      </c>
      <c r="K84" s="20">
        <v>0</v>
      </c>
      <c r="L84" s="20">
        <f t="shared" si="110"/>
        <v>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f t="shared" si="111"/>
        <v>0</v>
      </c>
      <c r="X84" s="20"/>
      <c r="Y84" s="20">
        <f t="shared" si="132"/>
        <v>0</v>
      </c>
      <c r="Z84" s="28"/>
      <c r="AA84" s="20">
        <f t="shared" si="133"/>
        <v>0</v>
      </c>
      <c r="AB84" s="28">
        <v>0</v>
      </c>
      <c r="AC84" s="20">
        <v>0</v>
      </c>
      <c r="AD84" s="28"/>
      <c r="AE84" s="28"/>
      <c r="AF84" s="28"/>
      <c r="AG84" s="28"/>
      <c r="AH84" s="28"/>
      <c r="AI84" s="28"/>
      <c r="AJ84" s="28"/>
      <c r="AK84" s="20"/>
      <c r="AL84" s="28"/>
      <c r="AM84" s="28"/>
      <c r="AN84" s="28">
        <f t="shared" si="112"/>
        <v>0</v>
      </c>
      <c r="AO84" s="28">
        <f t="shared" si="113"/>
        <v>0</v>
      </c>
      <c r="AP84" s="94" t="s">
        <v>499</v>
      </c>
      <c r="AQ84" s="86"/>
      <c r="AR84" s="85">
        <f t="shared" si="8"/>
        <v>0</v>
      </c>
      <c r="AS84" s="85">
        <f t="shared" si="9"/>
        <v>0</v>
      </c>
      <c r="AT84" s="113">
        <f t="shared" si="39"/>
        <v>0</v>
      </c>
      <c r="AV84" s="105">
        <f t="shared" si="40"/>
        <v>0</v>
      </c>
      <c r="AX84" s="31"/>
      <c r="AY84" s="15"/>
      <c r="AZ84" s="118"/>
      <c r="BA84" s="118"/>
      <c r="BB84" s="118"/>
      <c r="BC84" s="118"/>
      <c r="BD84" s="8"/>
      <c r="BE84" s="118">
        <f t="shared" si="11"/>
        <v>0</v>
      </c>
      <c r="BF84" s="118">
        <f t="shared" si="12"/>
        <v>0</v>
      </c>
      <c r="BG84" s="118">
        <f t="shared" si="13"/>
        <v>0</v>
      </c>
      <c r="BH84" s="118">
        <f t="shared" si="14"/>
        <v>0</v>
      </c>
      <c r="BI84" s="122">
        <f t="shared" si="15"/>
        <v>0</v>
      </c>
      <c r="BJ84" s="118">
        <f t="shared" si="114"/>
        <v>0</v>
      </c>
      <c r="BK84" s="108" t="s">
        <v>131</v>
      </c>
      <c r="BL84" s="8" t="b">
        <f t="shared" si="115"/>
        <v>1</v>
      </c>
      <c r="BM84" s="128">
        <f t="shared" si="145"/>
        <v>0</v>
      </c>
      <c r="BN84" s="129">
        <f t="shared" si="127"/>
        <v>0</v>
      </c>
      <c r="BR84" s="73">
        <f t="shared" si="146"/>
        <v>0</v>
      </c>
      <c r="BS84" s="73">
        <f t="shared" si="147"/>
        <v>0</v>
      </c>
      <c r="BT84" s="73">
        <f t="shared" si="148"/>
        <v>0</v>
      </c>
      <c r="BU84" s="73">
        <f t="shared" si="149"/>
        <v>0</v>
      </c>
      <c r="BV84" s="73">
        <f t="shared" si="150"/>
        <v>0</v>
      </c>
      <c r="BW84" s="73">
        <f t="shared" si="151"/>
        <v>0</v>
      </c>
      <c r="BX84" s="73">
        <f t="shared" si="152"/>
        <v>0</v>
      </c>
      <c r="BY84" s="73">
        <f t="shared" si="153"/>
        <v>0</v>
      </c>
      <c r="BZ84" s="74">
        <f t="shared" si="124"/>
        <v>0</v>
      </c>
      <c r="CB84" s="75">
        <f t="shared" si="154"/>
        <v>0</v>
      </c>
      <c r="CE84" s="8"/>
      <c r="CJ84" s="70">
        <f t="shared" si="5"/>
        <v>0</v>
      </c>
      <c r="CL84" s="163"/>
      <c r="CM84" s="68"/>
      <c r="CN84" s="28"/>
      <c r="CQ84" s="177">
        <f t="shared" si="155"/>
        <v>0</v>
      </c>
      <c r="CR84" s="177">
        <f t="shared" si="156"/>
        <v>0</v>
      </c>
    </row>
    <row r="85" spans="1:96" s="8" customFormat="1" ht="53.25" customHeight="1" x14ac:dyDescent="0.3">
      <c r="A85" s="44" t="s">
        <v>525</v>
      </c>
      <c r="B85" s="51" t="s">
        <v>71</v>
      </c>
      <c r="C85" s="71" t="s">
        <v>164</v>
      </c>
      <c r="D85" s="46" t="s">
        <v>206</v>
      </c>
      <c r="E85" s="27" t="s">
        <v>483</v>
      </c>
      <c r="F85" s="21" t="str">
        <f t="shared" si="107"/>
        <v>нд</v>
      </c>
      <c r="G85" s="46" t="str">
        <f t="shared" si="108"/>
        <v>нд</v>
      </c>
      <c r="H85" s="46" t="str">
        <f t="shared" si="109"/>
        <v>нд</v>
      </c>
      <c r="I85" s="29" t="s">
        <v>131</v>
      </c>
      <c r="J85" s="28" t="s">
        <v>131</v>
      </c>
      <c r="K85" s="20">
        <v>0</v>
      </c>
      <c r="L85" s="20">
        <f t="shared" si="110"/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f t="shared" si="128"/>
        <v>0</v>
      </c>
      <c r="S85" s="20">
        <f t="shared" si="129"/>
        <v>0</v>
      </c>
      <c r="T85" s="20">
        <f t="shared" si="130"/>
        <v>0</v>
      </c>
      <c r="U85" s="20">
        <f t="shared" si="131"/>
        <v>0</v>
      </c>
      <c r="V85" s="20">
        <v>0</v>
      </c>
      <c r="W85" s="20">
        <f t="shared" si="111"/>
        <v>0</v>
      </c>
      <c r="X85" s="20"/>
      <c r="Y85" s="20">
        <f t="shared" si="132"/>
        <v>0</v>
      </c>
      <c r="Z85" s="28"/>
      <c r="AA85" s="20">
        <f t="shared" si="133"/>
        <v>0</v>
      </c>
      <c r="AB85" s="28"/>
      <c r="AC85" s="20"/>
      <c r="AD85" s="28"/>
      <c r="AE85" s="28"/>
      <c r="AF85" s="28"/>
      <c r="AG85" s="28"/>
      <c r="AH85" s="28"/>
      <c r="AI85" s="28"/>
      <c r="AJ85" s="28"/>
      <c r="AK85" s="20"/>
      <c r="AL85" s="28"/>
      <c r="AM85" s="28"/>
      <c r="AN85" s="28">
        <f t="shared" si="112"/>
        <v>0</v>
      </c>
      <c r="AO85" s="28">
        <f t="shared" si="113"/>
        <v>0</v>
      </c>
      <c r="AP85" s="94" t="s">
        <v>499</v>
      </c>
      <c r="AQ85" s="86"/>
      <c r="AR85" s="85">
        <f t="shared" si="8"/>
        <v>0</v>
      </c>
      <c r="AS85" s="85">
        <f t="shared" si="9"/>
        <v>0</v>
      </c>
      <c r="AT85" s="113">
        <f t="shared" si="39"/>
        <v>0</v>
      </c>
      <c r="AV85" s="105">
        <f t="shared" si="40"/>
        <v>0</v>
      </c>
      <c r="AX85" s="31"/>
      <c r="AY85" s="15"/>
      <c r="AZ85" s="118"/>
      <c r="BA85" s="118"/>
      <c r="BB85" s="118"/>
      <c r="BC85" s="118"/>
      <c r="BE85" s="118">
        <f t="shared" si="11"/>
        <v>0</v>
      </c>
      <c r="BF85" s="118">
        <f t="shared" si="12"/>
        <v>0</v>
      </c>
      <c r="BG85" s="118">
        <f t="shared" si="13"/>
        <v>0</v>
      </c>
      <c r="BH85" s="118">
        <f t="shared" si="14"/>
        <v>0</v>
      </c>
      <c r="BI85" s="122">
        <f t="shared" si="15"/>
        <v>0</v>
      </c>
      <c r="BJ85" s="118">
        <f t="shared" si="114"/>
        <v>0</v>
      </c>
      <c r="BK85" s="44" t="s">
        <v>131</v>
      </c>
      <c r="BL85" s="8" t="b">
        <f t="shared" si="115"/>
        <v>1</v>
      </c>
      <c r="BM85" s="128">
        <f t="shared" si="145"/>
        <v>0</v>
      </c>
      <c r="BN85" s="129">
        <f t="shared" si="127"/>
        <v>0</v>
      </c>
      <c r="BR85" s="73">
        <f t="shared" si="146"/>
        <v>0</v>
      </c>
      <c r="BS85" s="73">
        <f t="shared" si="147"/>
        <v>0</v>
      </c>
      <c r="BT85" s="73">
        <f t="shared" si="148"/>
        <v>0</v>
      </c>
      <c r="BU85" s="73">
        <f t="shared" si="149"/>
        <v>0</v>
      </c>
      <c r="BV85" s="73">
        <f t="shared" si="150"/>
        <v>0</v>
      </c>
      <c r="BW85" s="73">
        <f t="shared" si="151"/>
        <v>0</v>
      </c>
      <c r="BX85" s="73">
        <f t="shared" si="152"/>
        <v>0</v>
      </c>
      <c r="BY85" s="73">
        <f t="shared" si="153"/>
        <v>0</v>
      </c>
      <c r="BZ85" s="74">
        <f t="shared" si="124"/>
        <v>0</v>
      </c>
      <c r="CB85" s="75">
        <f t="shared" si="154"/>
        <v>0</v>
      </c>
      <c r="CJ85" s="70">
        <f t="shared" si="5"/>
        <v>0</v>
      </c>
      <c r="CK85" s="166"/>
      <c r="CL85" s="163"/>
      <c r="CM85" s="68"/>
      <c r="CN85" s="28"/>
      <c r="CQ85" s="177">
        <f t="shared" si="155"/>
        <v>0</v>
      </c>
      <c r="CR85" s="177">
        <f t="shared" si="156"/>
        <v>0</v>
      </c>
    </row>
    <row r="86" spans="1:96" ht="55.5" customHeight="1" x14ac:dyDescent="0.3">
      <c r="A86" s="44" t="s">
        <v>525</v>
      </c>
      <c r="B86" s="51" t="s">
        <v>71</v>
      </c>
      <c r="C86" s="71" t="s">
        <v>138</v>
      </c>
      <c r="D86" s="20" t="s">
        <v>223</v>
      </c>
      <c r="E86" s="27" t="s">
        <v>483</v>
      </c>
      <c r="F86" s="21" t="str">
        <f t="shared" si="107"/>
        <v>нд</v>
      </c>
      <c r="G86" s="46" t="str">
        <f t="shared" si="108"/>
        <v>нд</v>
      </c>
      <c r="H86" s="46" t="str">
        <f t="shared" si="109"/>
        <v>нд</v>
      </c>
      <c r="I86" s="22" t="s">
        <v>131</v>
      </c>
      <c r="J86" s="20" t="s">
        <v>131</v>
      </c>
      <c r="K86" s="20">
        <v>0</v>
      </c>
      <c r="L86" s="20">
        <f t="shared" si="110"/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f t="shared" si="128"/>
        <v>0</v>
      </c>
      <c r="S86" s="20">
        <f t="shared" si="129"/>
        <v>0</v>
      </c>
      <c r="T86" s="20">
        <f t="shared" si="130"/>
        <v>0</v>
      </c>
      <c r="U86" s="20">
        <f t="shared" si="131"/>
        <v>0</v>
      </c>
      <c r="V86" s="20">
        <v>0</v>
      </c>
      <c r="W86" s="20">
        <f t="shared" si="111"/>
        <v>0</v>
      </c>
      <c r="X86" s="20"/>
      <c r="Y86" s="20">
        <f t="shared" si="132"/>
        <v>0</v>
      </c>
      <c r="Z86" s="28"/>
      <c r="AA86" s="20">
        <f t="shared" si="133"/>
        <v>0</v>
      </c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>
        <f t="shared" si="112"/>
        <v>0</v>
      </c>
      <c r="AO86" s="20">
        <f t="shared" si="113"/>
        <v>0</v>
      </c>
      <c r="AP86" s="94" t="s">
        <v>499</v>
      </c>
      <c r="AQ86" s="86"/>
      <c r="AR86" s="85">
        <f t="shared" si="8"/>
        <v>0</v>
      </c>
      <c r="AS86" s="85">
        <f t="shared" si="9"/>
        <v>0</v>
      </c>
      <c r="AT86" s="113">
        <f t="shared" si="39"/>
        <v>0</v>
      </c>
      <c r="AV86" s="105">
        <f t="shared" si="40"/>
        <v>0</v>
      </c>
      <c r="AX86" s="31"/>
      <c r="AY86" s="15"/>
      <c r="AZ86" s="118"/>
      <c r="BA86" s="118"/>
      <c r="BB86" s="118"/>
      <c r="BC86" s="118"/>
      <c r="BD86" s="8"/>
      <c r="BE86" s="118">
        <f t="shared" si="11"/>
        <v>0</v>
      </c>
      <c r="BF86" s="118">
        <f t="shared" si="12"/>
        <v>0</v>
      </c>
      <c r="BG86" s="118">
        <f t="shared" si="13"/>
        <v>0</v>
      </c>
      <c r="BH86" s="118">
        <f t="shared" si="14"/>
        <v>0</v>
      </c>
      <c r="BI86" s="122">
        <f t="shared" si="15"/>
        <v>0</v>
      </c>
      <c r="BJ86" s="118">
        <f t="shared" si="114"/>
        <v>0</v>
      </c>
      <c r="BK86" s="108" t="s">
        <v>131</v>
      </c>
      <c r="BL86" s="8" t="b">
        <f t="shared" si="115"/>
        <v>1</v>
      </c>
      <c r="BM86" s="128">
        <f t="shared" si="145"/>
        <v>0</v>
      </c>
      <c r="BN86" s="129">
        <f t="shared" si="127"/>
        <v>0</v>
      </c>
      <c r="BR86" s="73">
        <f t="shared" si="146"/>
        <v>0</v>
      </c>
      <c r="BS86" s="73">
        <f t="shared" si="147"/>
        <v>0</v>
      </c>
      <c r="BT86" s="73">
        <f t="shared" si="148"/>
        <v>0</v>
      </c>
      <c r="BU86" s="73">
        <f t="shared" si="149"/>
        <v>0</v>
      </c>
      <c r="BV86" s="73">
        <f t="shared" si="150"/>
        <v>0</v>
      </c>
      <c r="BW86" s="73">
        <f t="shared" si="151"/>
        <v>0</v>
      </c>
      <c r="BX86" s="73">
        <f t="shared" si="152"/>
        <v>0</v>
      </c>
      <c r="BY86" s="73">
        <f t="shared" si="153"/>
        <v>0</v>
      </c>
      <c r="BZ86" s="74">
        <f t="shared" si="124"/>
        <v>0</v>
      </c>
      <c r="CB86" s="75">
        <f t="shared" si="154"/>
        <v>0</v>
      </c>
      <c r="CE86" s="8"/>
      <c r="CJ86" s="70">
        <f t="shared" si="5"/>
        <v>0</v>
      </c>
      <c r="CL86" s="163"/>
      <c r="CM86" s="68"/>
      <c r="CN86" s="20"/>
      <c r="CQ86" s="177">
        <f t="shared" si="155"/>
        <v>0</v>
      </c>
      <c r="CR86" s="177">
        <f t="shared" si="156"/>
        <v>0</v>
      </c>
    </row>
    <row r="87" spans="1:96" ht="55.5" customHeight="1" x14ac:dyDescent="0.3">
      <c r="A87" s="44" t="s">
        <v>525</v>
      </c>
      <c r="B87" s="51" t="s">
        <v>71</v>
      </c>
      <c r="C87" s="71" t="s">
        <v>139</v>
      </c>
      <c r="D87" s="20" t="s">
        <v>224</v>
      </c>
      <c r="E87" s="27" t="s">
        <v>483</v>
      </c>
      <c r="F87" s="21" t="str">
        <f t="shared" si="107"/>
        <v>нд</v>
      </c>
      <c r="G87" s="46" t="str">
        <f t="shared" si="108"/>
        <v>нд</v>
      </c>
      <c r="H87" s="46" t="str">
        <f t="shared" si="109"/>
        <v>нд</v>
      </c>
      <c r="I87" s="22" t="s">
        <v>131</v>
      </c>
      <c r="J87" s="20" t="s">
        <v>131</v>
      </c>
      <c r="K87" s="20">
        <v>0</v>
      </c>
      <c r="L87" s="20">
        <f t="shared" si="110"/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f t="shared" si="128"/>
        <v>0</v>
      </c>
      <c r="S87" s="20">
        <f t="shared" si="129"/>
        <v>0</v>
      </c>
      <c r="T87" s="20">
        <f t="shared" si="130"/>
        <v>0</v>
      </c>
      <c r="U87" s="20">
        <f t="shared" si="131"/>
        <v>0</v>
      </c>
      <c r="V87" s="20">
        <v>0</v>
      </c>
      <c r="W87" s="20">
        <f t="shared" si="111"/>
        <v>0</v>
      </c>
      <c r="X87" s="20"/>
      <c r="Y87" s="20">
        <f t="shared" si="132"/>
        <v>0</v>
      </c>
      <c r="Z87" s="28"/>
      <c r="AA87" s="20">
        <f t="shared" si="133"/>
        <v>0</v>
      </c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>
        <f t="shared" si="112"/>
        <v>0</v>
      </c>
      <c r="AO87" s="20">
        <f t="shared" si="113"/>
        <v>0</v>
      </c>
      <c r="AP87" s="94" t="s">
        <v>499</v>
      </c>
      <c r="AQ87" s="86"/>
      <c r="AR87" s="85">
        <f t="shared" si="8"/>
        <v>0</v>
      </c>
      <c r="AS87" s="85">
        <f t="shared" si="9"/>
        <v>0</v>
      </c>
      <c r="AT87" s="113">
        <f t="shared" si="39"/>
        <v>0</v>
      </c>
      <c r="AV87" s="105">
        <f t="shared" si="40"/>
        <v>0</v>
      </c>
      <c r="AX87" s="31"/>
      <c r="AY87" s="15"/>
      <c r="AZ87" s="118"/>
      <c r="BA87" s="118"/>
      <c r="BB87" s="118"/>
      <c r="BC87" s="118"/>
      <c r="BD87" s="8"/>
      <c r="BE87" s="118">
        <f t="shared" si="11"/>
        <v>0</v>
      </c>
      <c r="BF87" s="118">
        <f t="shared" si="12"/>
        <v>0</v>
      </c>
      <c r="BG87" s="118">
        <f t="shared" si="13"/>
        <v>0</v>
      </c>
      <c r="BH87" s="118">
        <f t="shared" si="14"/>
        <v>0</v>
      </c>
      <c r="BI87" s="122">
        <f t="shared" si="15"/>
        <v>0</v>
      </c>
      <c r="BJ87" s="118">
        <f t="shared" si="114"/>
        <v>0</v>
      </c>
      <c r="BK87" s="108" t="s">
        <v>131</v>
      </c>
      <c r="BL87" s="8" t="b">
        <f t="shared" si="115"/>
        <v>1</v>
      </c>
      <c r="BM87" s="128">
        <f t="shared" si="145"/>
        <v>0</v>
      </c>
      <c r="BN87" s="129">
        <f t="shared" si="127"/>
        <v>0</v>
      </c>
      <c r="BR87" s="73">
        <f t="shared" si="146"/>
        <v>0</v>
      </c>
      <c r="BS87" s="73">
        <f t="shared" si="147"/>
        <v>0</v>
      </c>
      <c r="BT87" s="73">
        <f t="shared" si="148"/>
        <v>0</v>
      </c>
      <c r="BU87" s="73">
        <f t="shared" si="149"/>
        <v>0</v>
      </c>
      <c r="BV87" s="73">
        <f t="shared" si="150"/>
        <v>0</v>
      </c>
      <c r="BW87" s="73">
        <f t="shared" si="151"/>
        <v>0</v>
      </c>
      <c r="BX87" s="73">
        <f t="shared" si="152"/>
        <v>0</v>
      </c>
      <c r="BY87" s="73">
        <f t="shared" si="153"/>
        <v>0</v>
      </c>
      <c r="BZ87" s="74">
        <f t="shared" si="124"/>
        <v>0</v>
      </c>
      <c r="CB87" s="75">
        <f t="shared" si="154"/>
        <v>0</v>
      </c>
      <c r="CE87" s="8"/>
      <c r="CJ87" s="70">
        <f t="shared" si="5"/>
        <v>0</v>
      </c>
      <c r="CL87" s="163"/>
      <c r="CM87" s="68"/>
      <c r="CN87" s="20"/>
      <c r="CQ87" s="177">
        <f t="shared" si="155"/>
        <v>0</v>
      </c>
      <c r="CR87" s="177">
        <f t="shared" si="156"/>
        <v>0</v>
      </c>
    </row>
    <row r="88" spans="1:96" ht="55.5" customHeight="1" x14ac:dyDescent="0.3">
      <c r="A88" s="44" t="s">
        <v>525</v>
      </c>
      <c r="B88" s="51" t="s">
        <v>71</v>
      </c>
      <c r="C88" s="71" t="s">
        <v>140</v>
      </c>
      <c r="D88" s="20" t="s">
        <v>225</v>
      </c>
      <c r="E88" s="27" t="s">
        <v>483</v>
      </c>
      <c r="F88" s="21" t="str">
        <f t="shared" si="107"/>
        <v>нд</v>
      </c>
      <c r="G88" s="46" t="str">
        <f t="shared" si="108"/>
        <v>нд</v>
      </c>
      <c r="H88" s="46" t="str">
        <f t="shared" si="109"/>
        <v>нд</v>
      </c>
      <c r="I88" s="22" t="s">
        <v>131</v>
      </c>
      <c r="J88" s="20" t="s">
        <v>131</v>
      </c>
      <c r="K88" s="20">
        <v>0</v>
      </c>
      <c r="L88" s="20">
        <f t="shared" si="110"/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f t="shared" si="128"/>
        <v>0</v>
      </c>
      <c r="S88" s="20">
        <f t="shared" si="129"/>
        <v>0</v>
      </c>
      <c r="T88" s="20">
        <f t="shared" si="130"/>
        <v>0</v>
      </c>
      <c r="U88" s="20">
        <f t="shared" si="131"/>
        <v>0</v>
      </c>
      <c r="V88" s="20">
        <v>0</v>
      </c>
      <c r="W88" s="20">
        <f t="shared" si="111"/>
        <v>0</v>
      </c>
      <c r="X88" s="20"/>
      <c r="Y88" s="20">
        <f t="shared" si="132"/>
        <v>0</v>
      </c>
      <c r="Z88" s="28"/>
      <c r="AA88" s="20">
        <f t="shared" si="133"/>
        <v>0</v>
      </c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>
        <f t="shared" si="112"/>
        <v>0</v>
      </c>
      <c r="AO88" s="20">
        <f t="shared" si="113"/>
        <v>0</v>
      </c>
      <c r="AP88" s="94" t="s">
        <v>499</v>
      </c>
      <c r="AQ88" s="86"/>
      <c r="AR88" s="85">
        <f t="shared" si="8"/>
        <v>0</v>
      </c>
      <c r="AS88" s="85">
        <f t="shared" si="9"/>
        <v>0</v>
      </c>
      <c r="AT88" s="113">
        <f t="shared" si="39"/>
        <v>0</v>
      </c>
      <c r="AV88" s="105">
        <f t="shared" si="40"/>
        <v>0</v>
      </c>
      <c r="AX88" s="31"/>
      <c r="AY88" s="15"/>
      <c r="AZ88" s="118"/>
      <c r="BA88" s="118"/>
      <c r="BB88" s="118"/>
      <c r="BC88" s="118"/>
      <c r="BD88" s="8"/>
      <c r="BE88" s="118">
        <f t="shared" si="11"/>
        <v>0</v>
      </c>
      <c r="BF88" s="118">
        <f t="shared" si="12"/>
        <v>0</v>
      </c>
      <c r="BG88" s="118">
        <f t="shared" si="13"/>
        <v>0</v>
      </c>
      <c r="BH88" s="118">
        <f t="shared" si="14"/>
        <v>0</v>
      </c>
      <c r="BI88" s="122">
        <f t="shared" si="15"/>
        <v>0</v>
      </c>
      <c r="BJ88" s="118">
        <f t="shared" si="114"/>
        <v>0</v>
      </c>
      <c r="BK88" s="108" t="s">
        <v>131</v>
      </c>
      <c r="BL88" s="8" t="b">
        <f t="shared" si="115"/>
        <v>1</v>
      </c>
      <c r="BM88" s="128">
        <f t="shared" si="145"/>
        <v>0</v>
      </c>
      <c r="BN88" s="129">
        <f t="shared" si="127"/>
        <v>0</v>
      </c>
      <c r="BR88" s="73">
        <f t="shared" si="146"/>
        <v>0</v>
      </c>
      <c r="BS88" s="73">
        <f t="shared" si="147"/>
        <v>0</v>
      </c>
      <c r="BT88" s="73">
        <f t="shared" si="148"/>
        <v>0</v>
      </c>
      <c r="BU88" s="73">
        <f t="shared" si="149"/>
        <v>0</v>
      </c>
      <c r="BV88" s="73">
        <f t="shared" si="150"/>
        <v>0</v>
      </c>
      <c r="BW88" s="73">
        <f t="shared" si="151"/>
        <v>0</v>
      </c>
      <c r="BX88" s="73">
        <f t="shared" si="152"/>
        <v>0</v>
      </c>
      <c r="BY88" s="73">
        <f t="shared" si="153"/>
        <v>0</v>
      </c>
      <c r="BZ88" s="74">
        <f t="shared" si="124"/>
        <v>0</v>
      </c>
      <c r="CB88" s="75">
        <f t="shared" si="154"/>
        <v>0</v>
      </c>
      <c r="CE88" s="8"/>
      <c r="CJ88" s="70">
        <f t="shared" si="5"/>
        <v>0</v>
      </c>
      <c r="CL88" s="163"/>
      <c r="CM88" s="68"/>
      <c r="CN88" s="20"/>
      <c r="CQ88" s="177">
        <f t="shared" si="155"/>
        <v>0</v>
      </c>
      <c r="CR88" s="177">
        <f t="shared" si="156"/>
        <v>0</v>
      </c>
    </row>
    <row r="89" spans="1:96" ht="55.5" customHeight="1" x14ac:dyDescent="0.3">
      <c r="A89" s="44" t="s">
        <v>525</v>
      </c>
      <c r="B89" s="51" t="s">
        <v>71</v>
      </c>
      <c r="C89" s="71" t="s">
        <v>141</v>
      </c>
      <c r="D89" s="20" t="s">
        <v>226</v>
      </c>
      <c r="E89" s="27" t="s">
        <v>483</v>
      </c>
      <c r="F89" s="21" t="str">
        <f t="shared" si="107"/>
        <v>нд</v>
      </c>
      <c r="G89" s="46" t="str">
        <f t="shared" si="108"/>
        <v>нд</v>
      </c>
      <c r="H89" s="46" t="str">
        <f t="shared" si="109"/>
        <v>нд</v>
      </c>
      <c r="I89" s="22" t="s">
        <v>131</v>
      </c>
      <c r="J89" s="20" t="s">
        <v>131</v>
      </c>
      <c r="K89" s="20">
        <v>0</v>
      </c>
      <c r="L89" s="20">
        <f t="shared" si="110"/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f t="shared" si="128"/>
        <v>0</v>
      </c>
      <c r="S89" s="20">
        <f t="shared" si="129"/>
        <v>0</v>
      </c>
      <c r="T89" s="20">
        <f t="shared" si="130"/>
        <v>0</v>
      </c>
      <c r="U89" s="20">
        <f t="shared" si="131"/>
        <v>0</v>
      </c>
      <c r="V89" s="20">
        <v>0</v>
      </c>
      <c r="W89" s="20">
        <f t="shared" si="111"/>
        <v>0</v>
      </c>
      <c r="X89" s="20"/>
      <c r="Y89" s="20">
        <f t="shared" si="132"/>
        <v>0</v>
      </c>
      <c r="Z89" s="28"/>
      <c r="AA89" s="20">
        <f t="shared" si="133"/>
        <v>0</v>
      </c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>
        <f t="shared" si="112"/>
        <v>0</v>
      </c>
      <c r="AO89" s="20">
        <f t="shared" si="113"/>
        <v>0</v>
      </c>
      <c r="AP89" s="94" t="s">
        <v>499</v>
      </c>
      <c r="AQ89" s="86"/>
      <c r="AR89" s="85">
        <f t="shared" si="8"/>
        <v>0</v>
      </c>
      <c r="AS89" s="85">
        <f t="shared" si="9"/>
        <v>0</v>
      </c>
      <c r="AT89" s="113">
        <f t="shared" si="39"/>
        <v>0</v>
      </c>
      <c r="AV89" s="105">
        <f t="shared" si="40"/>
        <v>0</v>
      </c>
      <c r="AX89" s="31"/>
      <c r="AY89" s="15"/>
      <c r="AZ89" s="118"/>
      <c r="BA89" s="118"/>
      <c r="BB89" s="118"/>
      <c r="BC89" s="118"/>
      <c r="BD89" s="8"/>
      <c r="BE89" s="118">
        <f t="shared" si="11"/>
        <v>0</v>
      </c>
      <c r="BF89" s="118">
        <f t="shared" si="12"/>
        <v>0</v>
      </c>
      <c r="BG89" s="118">
        <f t="shared" si="13"/>
        <v>0</v>
      </c>
      <c r="BH89" s="118">
        <f t="shared" si="14"/>
        <v>0</v>
      </c>
      <c r="BI89" s="122">
        <f t="shared" si="15"/>
        <v>0</v>
      </c>
      <c r="BJ89" s="118">
        <f t="shared" si="114"/>
        <v>0</v>
      </c>
      <c r="BK89" s="108" t="s">
        <v>131</v>
      </c>
      <c r="BL89" s="8" t="b">
        <f t="shared" si="115"/>
        <v>1</v>
      </c>
      <c r="BM89" s="128">
        <f t="shared" si="145"/>
        <v>0</v>
      </c>
      <c r="BN89" s="129">
        <f t="shared" si="127"/>
        <v>0</v>
      </c>
      <c r="BR89" s="73">
        <f t="shared" si="146"/>
        <v>0</v>
      </c>
      <c r="BS89" s="73">
        <f t="shared" si="147"/>
        <v>0</v>
      </c>
      <c r="BT89" s="73">
        <f t="shared" si="148"/>
        <v>0</v>
      </c>
      <c r="BU89" s="73">
        <f t="shared" si="149"/>
        <v>0</v>
      </c>
      <c r="BV89" s="73">
        <f t="shared" si="150"/>
        <v>0</v>
      </c>
      <c r="BW89" s="73">
        <f t="shared" si="151"/>
        <v>0</v>
      </c>
      <c r="BX89" s="73">
        <f t="shared" si="152"/>
        <v>0</v>
      </c>
      <c r="BY89" s="73">
        <f t="shared" si="153"/>
        <v>0</v>
      </c>
      <c r="BZ89" s="74">
        <f t="shared" si="124"/>
        <v>0</v>
      </c>
      <c r="CB89" s="75">
        <f t="shared" si="154"/>
        <v>0</v>
      </c>
      <c r="CE89" s="8"/>
      <c r="CJ89" s="70">
        <f t="shared" si="5"/>
        <v>0</v>
      </c>
      <c r="CL89" s="163"/>
      <c r="CM89" s="68"/>
      <c r="CN89" s="20"/>
      <c r="CQ89" s="177">
        <f t="shared" si="155"/>
        <v>0</v>
      </c>
      <c r="CR89" s="177">
        <f t="shared" si="156"/>
        <v>0</v>
      </c>
    </row>
    <row r="90" spans="1:96" ht="55.5" customHeight="1" x14ac:dyDescent="0.3">
      <c r="A90" s="44" t="s">
        <v>525</v>
      </c>
      <c r="B90" s="51" t="s">
        <v>71</v>
      </c>
      <c r="C90" s="71" t="s">
        <v>144</v>
      </c>
      <c r="D90" s="20" t="s">
        <v>227</v>
      </c>
      <c r="E90" s="27" t="s">
        <v>483</v>
      </c>
      <c r="F90" s="21" t="str">
        <f t="shared" si="107"/>
        <v>нд</v>
      </c>
      <c r="G90" s="46" t="str">
        <f t="shared" si="108"/>
        <v>нд</v>
      </c>
      <c r="H90" s="46" t="str">
        <f t="shared" si="109"/>
        <v>нд</v>
      </c>
      <c r="I90" s="22" t="s">
        <v>131</v>
      </c>
      <c r="J90" s="20" t="s">
        <v>131</v>
      </c>
      <c r="K90" s="20">
        <v>0</v>
      </c>
      <c r="L90" s="20">
        <f t="shared" si="110"/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f t="shared" si="128"/>
        <v>0</v>
      </c>
      <c r="S90" s="20">
        <f t="shared" si="129"/>
        <v>0</v>
      </c>
      <c r="T90" s="20">
        <f t="shared" si="130"/>
        <v>0</v>
      </c>
      <c r="U90" s="20">
        <f t="shared" si="131"/>
        <v>0</v>
      </c>
      <c r="V90" s="20">
        <v>0</v>
      </c>
      <c r="W90" s="20">
        <f t="shared" si="111"/>
        <v>0</v>
      </c>
      <c r="X90" s="20"/>
      <c r="Y90" s="20">
        <f t="shared" si="132"/>
        <v>0</v>
      </c>
      <c r="Z90" s="28"/>
      <c r="AA90" s="20">
        <f t="shared" si="133"/>
        <v>0</v>
      </c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>
        <f t="shared" si="112"/>
        <v>0</v>
      </c>
      <c r="AO90" s="20">
        <f t="shared" si="113"/>
        <v>0</v>
      </c>
      <c r="AP90" s="94" t="s">
        <v>499</v>
      </c>
      <c r="AQ90" s="86"/>
      <c r="AR90" s="85">
        <f t="shared" si="8"/>
        <v>0</v>
      </c>
      <c r="AS90" s="85">
        <f t="shared" si="9"/>
        <v>0</v>
      </c>
      <c r="AT90" s="113">
        <f t="shared" si="39"/>
        <v>0</v>
      </c>
      <c r="AV90" s="105">
        <f t="shared" si="40"/>
        <v>0</v>
      </c>
      <c r="AX90" s="31"/>
      <c r="AY90" s="15"/>
      <c r="AZ90" s="118"/>
      <c r="BA90" s="118"/>
      <c r="BB90" s="118"/>
      <c r="BC90" s="118"/>
      <c r="BD90" s="8"/>
      <c r="BE90" s="118">
        <f t="shared" ref="BE90:BE153" si="157">AG90-AZ90</f>
        <v>0</v>
      </c>
      <c r="BF90" s="118">
        <f t="shared" ref="BF90:BF153" si="158">AI90-BA90</f>
        <v>0</v>
      </c>
      <c r="BG90" s="118">
        <f t="shared" ref="BG90:BG153" si="159">AK90-BB90</f>
        <v>0</v>
      </c>
      <c r="BH90" s="118">
        <f t="shared" ref="BH90:BH153" si="160">AM90-BC90</f>
        <v>0</v>
      </c>
      <c r="BI90" s="122">
        <f t="shared" ref="BI90:BI153" si="161">BE90+BF90+BG90+BH90</f>
        <v>0</v>
      </c>
      <c r="BJ90" s="118">
        <f t="shared" si="114"/>
        <v>0</v>
      </c>
      <c r="BK90" s="108" t="s">
        <v>131</v>
      </c>
      <c r="BL90" s="8" t="b">
        <f t="shared" si="115"/>
        <v>1</v>
      </c>
      <c r="BM90" s="128">
        <f t="shared" si="145"/>
        <v>0</v>
      </c>
      <c r="BN90" s="129">
        <f t="shared" si="127"/>
        <v>0</v>
      </c>
      <c r="BR90" s="73">
        <f t="shared" si="146"/>
        <v>0</v>
      </c>
      <c r="BS90" s="73">
        <f t="shared" si="147"/>
        <v>0</v>
      </c>
      <c r="BT90" s="73">
        <f t="shared" si="148"/>
        <v>0</v>
      </c>
      <c r="BU90" s="73">
        <f t="shared" si="149"/>
        <v>0</v>
      </c>
      <c r="BV90" s="73">
        <f t="shared" si="150"/>
        <v>0</v>
      </c>
      <c r="BW90" s="73">
        <f t="shared" si="151"/>
        <v>0</v>
      </c>
      <c r="BX90" s="73">
        <f t="shared" si="152"/>
        <v>0</v>
      </c>
      <c r="BY90" s="73">
        <f t="shared" si="153"/>
        <v>0</v>
      </c>
      <c r="BZ90" s="74">
        <f t="shared" si="124"/>
        <v>0</v>
      </c>
      <c r="CB90" s="75">
        <f t="shared" si="154"/>
        <v>0</v>
      </c>
      <c r="CE90" s="8"/>
      <c r="CJ90" s="70">
        <f t="shared" si="5"/>
        <v>0</v>
      </c>
      <c r="CL90" s="163"/>
      <c r="CM90" s="68"/>
      <c r="CN90" s="20"/>
      <c r="CQ90" s="177">
        <f t="shared" si="155"/>
        <v>0</v>
      </c>
      <c r="CR90" s="177">
        <f t="shared" si="156"/>
        <v>0</v>
      </c>
    </row>
    <row r="91" spans="1:96" ht="55.5" customHeight="1" x14ac:dyDescent="0.3">
      <c r="A91" s="44" t="s">
        <v>525</v>
      </c>
      <c r="B91" s="51" t="s">
        <v>71</v>
      </c>
      <c r="C91" s="71" t="s">
        <v>145</v>
      </c>
      <c r="D91" s="20" t="s">
        <v>228</v>
      </c>
      <c r="E91" s="27" t="s">
        <v>483</v>
      </c>
      <c r="F91" s="21" t="str">
        <f t="shared" si="107"/>
        <v>нд</v>
      </c>
      <c r="G91" s="46" t="str">
        <f t="shared" si="108"/>
        <v>нд</v>
      </c>
      <c r="H91" s="46" t="str">
        <f t="shared" si="109"/>
        <v>нд</v>
      </c>
      <c r="I91" s="22" t="s">
        <v>131</v>
      </c>
      <c r="J91" s="20" t="s">
        <v>131</v>
      </c>
      <c r="K91" s="20">
        <v>0</v>
      </c>
      <c r="L91" s="20">
        <f t="shared" si="110"/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f t="shared" si="128"/>
        <v>0</v>
      </c>
      <c r="S91" s="20">
        <f t="shared" si="129"/>
        <v>0</v>
      </c>
      <c r="T91" s="20">
        <f t="shared" si="130"/>
        <v>0</v>
      </c>
      <c r="U91" s="20">
        <f t="shared" si="131"/>
        <v>0</v>
      </c>
      <c r="V91" s="20">
        <v>0</v>
      </c>
      <c r="W91" s="20">
        <f t="shared" si="111"/>
        <v>0</v>
      </c>
      <c r="X91" s="20"/>
      <c r="Y91" s="20">
        <f t="shared" si="132"/>
        <v>0</v>
      </c>
      <c r="Z91" s="28"/>
      <c r="AA91" s="20">
        <f t="shared" si="133"/>
        <v>0</v>
      </c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>
        <f t="shared" si="112"/>
        <v>0</v>
      </c>
      <c r="AO91" s="20">
        <f t="shared" si="113"/>
        <v>0</v>
      </c>
      <c r="AP91" s="94" t="s">
        <v>499</v>
      </c>
      <c r="AQ91" s="86"/>
      <c r="AR91" s="85">
        <f t="shared" si="8"/>
        <v>0</v>
      </c>
      <c r="AS91" s="85">
        <f t="shared" si="9"/>
        <v>0</v>
      </c>
      <c r="AT91" s="113">
        <f t="shared" si="39"/>
        <v>0</v>
      </c>
      <c r="AV91" s="105">
        <f t="shared" si="40"/>
        <v>0</v>
      </c>
      <c r="AX91" s="31"/>
      <c r="AY91" s="15"/>
      <c r="AZ91" s="118"/>
      <c r="BA91" s="118"/>
      <c r="BB91" s="118"/>
      <c r="BC91" s="118"/>
      <c r="BD91" s="8"/>
      <c r="BE91" s="118">
        <f t="shared" si="157"/>
        <v>0</v>
      </c>
      <c r="BF91" s="118">
        <f t="shared" si="158"/>
        <v>0</v>
      </c>
      <c r="BG91" s="118">
        <f t="shared" si="159"/>
        <v>0</v>
      </c>
      <c r="BH91" s="118">
        <f t="shared" si="160"/>
        <v>0</v>
      </c>
      <c r="BI91" s="122">
        <f t="shared" si="161"/>
        <v>0</v>
      </c>
      <c r="BJ91" s="118">
        <f t="shared" si="114"/>
        <v>0</v>
      </c>
      <c r="BK91" s="108" t="s">
        <v>131</v>
      </c>
      <c r="BL91" s="8" t="b">
        <f t="shared" si="115"/>
        <v>1</v>
      </c>
      <c r="BM91" s="128">
        <f t="shared" si="145"/>
        <v>0</v>
      </c>
      <c r="BN91" s="129">
        <f t="shared" si="127"/>
        <v>0</v>
      </c>
      <c r="BR91" s="73">
        <f t="shared" si="146"/>
        <v>0</v>
      </c>
      <c r="BS91" s="73">
        <f t="shared" si="147"/>
        <v>0</v>
      </c>
      <c r="BT91" s="73">
        <f t="shared" si="148"/>
        <v>0</v>
      </c>
      <c r="BU91" s="73">
        <f t="shared" si="149"/>
        <v>0</v>
      </c>
      <c r="BV91" s="73">
        <f t="shared" si="150"/>
        <v>0</v>
      </c>
      <c r="BW91" s="73">
        <f t="shared" si="151"/>
        <v>0</v>
      </c>
      <c r="BX91" s="73">
        <f t="shared" si="152"/>
        <v>0</v>
      </c>
      <c r="BY91" s="73">
        <f t="shared" si="153"/>
        <v>0</v>
      </c>
      <c r="BZ91" s="74">
        <f t="shared" si="124"/>
        <v>0</v>
      </c>
      <c r="CB91" s="75">
        <f t="shared" si="154"/>
        <v>0</v>
      </c>
      <c r="CE91" s="8"/>
      <c r="CJ91" s="70">
        <f t="shared" ref="CJ91:CJ154" si="162">Q91-R91-S91-T91-U91</f>
        <v>0</v>
      </c>
      <c r="CL91" s="163"/>
      <c r="CM91" s="68"/>
      <c r="CN91" s="20"/>
      <c r="CQ91" s="177">
        <f t="shared" si="155"/>
        <v>0</v>
      </c>
      <c r="CR91" s="177">
        <f t="shared" si="156"/>
        <v>0</v>
      </c>
    </row>
    <row r="92" spans="1:96" ht="55.5" customHeight="1" x14ac:dyDescent="0.3">
      <c r="A92" s="44" t="s">
        <v>525</v>
      </c>
      <c r="B92" s="51" t="s">
        <v>71</v>
      </c>
      <c r="C92" s="71" t="s">
        <v>150</v>
      </c>
      <c r="D92" s="20" t="s">
        <v>232</v>
      </c>
      <c r="E92" s="27" t="s">
        <v>483</v>
      </c>
      <c r="F92" s="21" t="str">
        <f t="shared" si="107"/>
        <v>нд</v>
      </c>
      <c r="G92" s="46" t="str">
        <f t="shared" si="108"/>
        <v>нд</v>
      </c>
      <c r="H92" s="46" t="str">
        <f t="shared" si="109"/>
        <v>нд</v>
      </c>
      <c r="I92" s="22" t="s">
        <v>131</v>
      </c>
      <c r="J92" s="20" t="s">
        <v>131</v>
      </c>
      <c r="K92" s="20">
        <v>0</v>
      </c>
      <c r="L92" s="20">
        <f t="shared" si="110"/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f t="shared" si="128"/>
        <v>0</v>
      </c>
      <c r="S92" s="20">
        <f t="shared" si="129"/>
        <v>0</v>
      </c>
      <c r="T92" s="20">
        <f t="shared" si="130"/>
        <v>0</v>
      </c>
      <c r="U92" s="20">
        <f t="shared" si="131"/>
        <v>0</v>
      </c>
      <c r="V92" s="20">
        <v>0</v>
      </c>
      <c r="W92" s="20">
        <f t="shared" si="111"/>
        <v>0</v>
      </c>
      <c r="X92" s="20"/>
      <c r="Y92" s="20">
        <f t="shared" si="132"/>
        <v>0</v>
      </c>
      <c r="Z92" s="28"/>
      <c r="AA92" s="20">
        <f t="shared" si="133"/>
        <v>0</v>
      </c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>
        <f t="shared" si="112"/>
        <v>0</v>
      </c>
      <c r="AO92" s="20">
        <f t="shared" si="113"/>
        <v>0</v>
      </c>
      <c r="AP92" s="94" t="s">
        <v>499</v>
      </c>
      <c r="AQ92" s="86"/>
      <c r="AR92" s="85">
        <f t="shared" ref="AR92:AR155" si="163">L92-(K92+AB92+AD92+AF92+AH92+AJ92+AL92)</f>
        <v>0</v>
      </c>
      <c r="AS92" s="85">
        <f t="shared" ref="AS92:AS155" si="164">Q92-(K92+AC92+AE92+AG92+AI92+AK92+AM92)</f>
        <v>0</v>
      </c>
      <c r="AT92" s="113">
        <f t="shared" si="39"/>
        <v>0</v>
      </c>
      <c r="AV92" s="105">
        <f t="shared" si="40"/>
        <v>0</v>
      </c>
      <c r="AX92" s="31"/>
      <c r="AY92" s="15"/>
      <c r="AZ92" s="118"/>
      <c r="BA92" s="118"/>
      <c r="BB92" s="118"/>
      <c r="BC92" s="118"/>
      <c r="BD92" s="8"/>
      <c r="BE92" s="118">
        <f t="shared" si="157"/>
        <v>0</v>
      </c>
      <c r="BF92" s="118">
        <f t="shared" si="158"/>
        <v>0</v>
      </c>
      <c r="BG92" s="118">
        <f t="shared" si="159"/>
        <v>0</v>
      </c>
      <c r="BH92" s="118">
        <f t="shared" si="160"/>
        <v>0</v>
      </c>
      <c r="BI92" s="122">
        <f t="shared" si="161"/>
        <v>0</v>
      </c>
      <c r="BJ92" s="118">
        <f t="shared" si="114"/>
        <v>0</v>
      </c>
      <c r="BK92" s="108" t="s">
        <v>131</v>
      </c>
      <c r="BL92" s="8" t="b">
        <f t="shared" si="115"/>
        <v>1</v>
      </c>
      <c r="BM92" s="128">
        <f t="shared" si="145"/>
        <v>0</v>
      </c>
      <c r="BN92" s="129">
        <f t="shared" si="127"/>
        <v>0</v>
      </c>
      <c r="BR92" s="73">
        <f t="shared" si="146"/>
        <v>0</v>
      </c>
      <c r="BS92" s="73">
        <f t="shared" si="147"/>
        <v>0</v>
      </c>
      <c r="BT92" s="73">
        <f t="shared" si="148"/>
        <v>0</v>
      </c>
      <c r="BU92" s="73">
        <f t="shared" si="149"/>
        <v>0</v>
      </c>
      <c r="BV92" s="73">
        <f t="shared" si="150"/>
        <v>0</v>
      </c>
      <c r="BW92" s="73">
        <f t="shared" si="151"/>
        <v>0</v>
      </c>
      <c r="BX92" s="73">
        <f t="shared" si="152"/>
        <v>0</v>
      </c>
      <c r="BY92" s="73">
        <f t="shared" si="153"/>
        <v>0</v>
      </c>
      <c r="BZ92" s="74">
        <f t="shared" si="124"/>
        <v>0</v>
      </c>
      <c r="CB92" s="75">
        <f t="shared" si="154"/>
        <v>0</v>
      </c>
      <c r="CE92" s="8"/>
      <c r="CJ92" s="70">
        <f t="shared" si="162"/>
        <v>0</v>
      </c>
      <c r="CL92" s="163"/>
      <c r="CM92" s="68"/>
      <c r="CN92" s="20"/>
      <c r="CQ92" s="177">
        <f t="shared" si="155"/>
        <v>0</v>
      </c>
      <c r="CR92" s="177">
        <f t="shared" si="156"/>
        <v>0</v>
      </c>
    </row>
    <row r="93" spans="1:96" s="8" customFormat="1" ht="51.75" customHeight="1" x14ac:dyDescent="0.3">
      <c r="A93" s="44" t="s">
        <v>525</v>
      </c>
      <c r="B93" s="51" t="s">
        <v>71</v>
      </c>
      <c r="C93" s="71" t="s">
        <v>151</v>
      </c>
      <c r="D93" s="20" t="s">
        <v>186</v>
      </c>
      <c r="E93" s="27" t="s">
        <v>483</v>
      </c>
      <c r="F93" s="21" t="str">
        <f t="shared" si="107"/>
        <v>нд</v>
      </c>
      <c r="G93" s="46" t="str">
        <f t="shared" si="108"/>
        <v>нд</v>
      </c>
      <c r="H93" s="46" t="str">
        <f t="shared" si="109"/>
        <v>нд</v>
      </c>
      <c r="I93" s="22" t="s">
        <v>131</v>
      </c>
      <c r="J93" s="20" t="s">
        <v>131</v>
      </c>
      <c r="K93" s="20">
        <v>0</v>
      </c>
      <c r="L93" s="20">
        <f t="shared" si="110"/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f t="shared" si="128"/>
        <v>0</v>
      </c>
      <c r="S93" s="20">
        <f t="shared" si="129"/>
        <v>0</v>
      </c>
      <c r="T93" s="20">
        <f t="shared" si="130"/>
        <v>0</v>
      </c>
      <c r="U93" s="20">
        <f t="shared" si="131"/>
        <v>0</v>
      </c>
      <c r="V93" s="20">
        <v>0</v>
      </c>
      <c r="W93" s="20">
        <f t="shared" si="111"/>
        <v>0</v>
      </c>
      <c r="X93" s="20"/>
      <c r="Y93" s="20">
        <f t="shared" si="132"/>
        <v>0</v>
      </c>
      <c r="Z93" s="28"/>
      <c r="AA93" s="20">
        <f t="shared" si="133"/>
        <v>0</v>
      </c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>
        <f t="shared" si="112"/>
        <v>0</v>
      </c>
      <c r="AO93" s="20">
        <f t="shared" si="113"/>
        <v>0</v>
      </c>
      <c r="AP93" s="94" t="s">
        <v>499</v>
      </c>
      <c r="AQ93" s="86"/>
      <c r="AR93" s="85">
        <f t="shared" si="163"/>
        <v>0</v>
      </c>
      <c r="AS93" s="85">
        <f t="shared" si="164"/>
        <v>0</v>
      </c>
      <c r="AT93" s="113">
        <f t="shared" si="39"/>
        <v>0</v>
      </c>
      <c r="AV93" s="105">
        <f t="shared" si="40"/>
        <v>0</v>
      </c>
      <c r="AX93" s="31"/>
      <c r="AY93" s="15"/>
      <c r="AZ93" s="118"/>
      <c r="BA93" s="118"/>
      <c r="BB93" s="118"/>
      <c r="BC93" s="118"/>
      <c r="BE93" s="118">
        <f t="shared" si="157"/>
        <v>0</v>
      </c>
      <c r="BF93" s="118">
        <f t="shared" si="158"/>
        <v>0</v>
      </c>
      <c r="BG93" s="118">
        <f t="shared" si="159"/>
        <v>0</v>
      </c>
      <c r="BH93" s="118">
        <f t="shared" si="160"/>
        <v>0</v>
      </c>
      <c r="BI93" s="122">
        <f t="shared" si="161"/>
        <v>0</v>
      </c>
      <c r="BJ93" s="118">
        <f t="shared" si="114"/>
        <v>0</v>
      </c>
      <c r="BK93" s="44" t="s">
        <v>131</v>
      </c>
      <c r="BL93" s="8" t="b">
        <f t="shared" si="115"/>
        <v>1</v>
      </c>
      <c r="BM93" s="128">
        <f t="shared" si="145"/>
        <v>0</v>
      </c>
      <c r="BN93" s="129">
        <f t="shared" si="127"/>
        <v>0</v>
      </c>
      <c r="BR93" s="86">
        <f t="shared" si="146"/>
        <v>0</v>
      </c>
      <c r="BS93" s="86">
        <f t="shared" si="147"/>
        <v>0</v>
      </c>
      <c r="BT93" s="86">
        <f t="shared" si="148"/>
        <v>0</v>
      </c>
      <c r="BU93" s="86">
        <f t="shared" si="149"/>
        <v>0</v>
      </c>
      <c r="BV93" s="86">
        <f t="shared" si="150"/>
        <v>0</v>
      </c>
      <c r="BW93" s="86">
        <f t="shared" si="151"/>
        <v>0</v>
      </c>
      <c r="BX93" s="86">
        <f t="shared" si="152"/>
        <v>0</v>
      </c>
      <c r="BY93" s="86">
        <f t="shared" si="153"/>
        <v>0</v>
      </c>
      <c r="BZ93" s="87">
        <f t="shared" si="124"/>
        <v>0</v>
      </c>
      <c r="CB93" s="75">
        <f t="shared" si="154"/>
        <v>0</v>
      </c>
      <c r="CJ93" s="70">
        <f t="shared" si="162"/>
        <v>0</v>
      </c>
      <c r="CK93" s="166"/>
      <c r="CL93" s="163"/>
      <c r="CM93" s="68"/>
      <c r="CN93" s="20"/>
      <c r="CQ93" s="177">
        <f t="shared" si="155"/>
        <v>0</v>
      </c>
      <c r="CR93" s="177">
        <f t="shared" si="156"/>
        <v>0</v>
      </c>
    </row>
    <row r="94" spans="1:96" ht="51.75" customHeight="1" x14ac:dyDescent="0.3">
      <c r="A94" s="44" t="s">
        <v>525</v>
      </c>
      <c r="B94" s="51" t="s">
        <v>71</v>
      </c>
      <c r="C94" s="71" t="s">
        <v>153</v>
      </c>
      <c r="D94" s="20" t="s">
        <v>188</v>
      </c>
      <c r="E94" s="27" t="s">
        <v>483</v>
      </c>
      <c r="F94" s="21" t="str">
        <f t="shared" si="107"/>
        <v>нд</v>
      </c>
      <c r="G94" s="46" t="str">
        <f t="shared" si="108"/>
        <v>Ошибка в +</v>
      </c>
      <c r="H94" s="46" t="str">
        <f t="shared" si="109"/>
        <v>нд</v>
      </c>
      <c r="I94" s="22" t="s">
        <v>131</v>
      </c>
      <c r="J94" s="20" t="s">
        <v>131</v>
      </c>
      <c r="K94" s="20">
        <v>0</v>
      </c>
      <c r="L94" s="20">
        <f t="shared" si="110"/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f t="shared" si="128"/>
        <v>0</v>
      </c>
      <c r="S94" s="20">
        <f t="shared" si="129"/>
        <v>0</v>
      </c>
      <c r="T94" s="20">
        <f t="shared" si="130"/>
        <v>0</v>
      </c>
      <c r="U94" s="20">
        <f t="shared" si="131"/>
        <v>0</v>
      </c>
      <c r="V94" s="20">
        <v>0</v>
      </c>
      <c r="W94" s="20">
        <f t="shared" si="111"/>
        <v>0</v>
      </c>
      <c r="X94" s="20"/>
      <c r="Y94" s="20">
        <f t="shared" si="132"/>
        <v>-287</v>
      </c>
      <c r="Z94" s="28"/>
      <c r="AA94" s="20">
        <f t="shared" si="133"/>
        <v>0</v>
      </c>
      <c r="AB94" s="20"/>
      <c r="AC94" s="20"/>
      <c r="AD94" s="174">
        <v>287</v>
      </c>
      <c r="AE94" s="20"/>
      <c r="AF94" s="20"/>
      <c r="AG94" s="20"/>
      <c r="AH94" s="20"/>
      <c r="AI94" s="20"/>
      <c r="AJ94" s="20"/>
      <c r="AK94" s="20"/>
      <c r="AL94" s="20"/>
      <c r="AM94" s="20"/>
      <c r="AN94" s="20">
        <f t="shared" si="112"/>
        <v>287</v>
      </c>
      <c r="AO94" s="20">
        <f t="shared" si="113"/>
        <v>0</v>
      </c>
      <c r="AP94" s="94" t="s">
        <v>499</v>
      </c>
      <c r="AQ94" s="86"/>
      <c r="AR94" s="85">
        <f t="shared" si="163"/>
        <v>-287</v>
      </c>
      <c r="AS94" s="85">
        <f t="shared" si="164"/>
        <v>0</v>
      </c>
      <c r="AT94" s="113">
        <f t="shared" si="39"/>
        <v>0</v>
      </c>
      <c r="AV94" s="105">
        <f t="shared" si="40"/>
        <v>0</v>
      </c>
      <c r="AX94" s="31"/>
      <c r="AY94" s="15"/>
      <c r="AZ94" s="118"/>
      <c r="BA94" s="118"/>
      <c r="BB94" s="118"/>
      <c r="BC94" s="118"/>
      <c r="BD94" s="8"/>
      <c r="BE94" s="118">
        <f t="shared" si="157"/>
        <v>0</v>
      </c>
      <c r="BF94" s="118">
        <f t="shared" si="158"/>
        <v>0</v>
      </c>
      <c r="BG94" s="118">
        <f t="shared" si="159"/>
        <v>0</v>
      </c>
      <c r="BH94" s="118">
        <f t="shared" si="160"/>
        <v>0</v>
      </c>
      <c r="BI94" s="122">
        <f t="shared" si="161"/>
        <v>0</v>
      </c>
      <c r="BJ94" s="118">
        <f t="shared" si="114"/>
        <v>0</v>
      </c>
      <c r="BK94" s="108" t="s">
        <v>131</v>
      </c>
      <c r="BL94" s="8" t="b">
        <f t="shared" si="115"/>
        <v>1</v>
      </c>
      <c r="BM94" s="128">
        <f t="shared" si="145"/>
        <v>0</v>
      </c>
      <c r="BN94" s="129">
        <f t="shared" si="127"/>
        <v>0</v>
      </c>
      <c r="BR94" s="73">
        <f t="shared" si="146"/>
        <v>0</v>
      </c>
      <c r="BS94" s="73">
        <f t="shared" si="147"/>
        <v>0</v>
      </c>
      <c r="BT94" s="73">
        <f t="shared" si="148"/>
        <v>0</v>
      </c>
      <c r="BU94" s="73">
        <f t="shared" si="149"/>
        <v>0</v>
      </c>
      <c r="BV94" s="73">
        <f t="shared" si="150"/>
        <v>0</v>
      </c>
      <c r="BW94" s="73">
        <f t="shared" si="151"/>
        <v>0</v>
      </c>
      <c r="BX94" s="73">
        <f t="shared" si="152"/>
        <v>0</v>
      </c>
      <c r="BY94" s="73">
        <f t="shared" si="153"/>
        <v>0</v>
      </c>
      <c r="BZ94" s="74">
        <f t="shared" si="124"/>
        <v>0</v>
      </c>
      <c r="CB94" s="75">
        <f t="shared" si="154"/>
        <v>0</v>
      </c>
      <c r="CE94" s="8"/>
      <c r="CJ94" s="70">
        <f t="shared" si="162"/>
        <v>0</v>
      </c>
      <c r="CL94" s="163"/>
      <c r="CM94" s="68"/>
      <c r="CN94" s="20">
        <v>287</v>
      </c>
      <c r="CQ94" s="177">
        <f t="shared" si="155"/>
        <v>0</v>
      </c>
      <c r="CR94" s="177">
        <f t="shared" si="156"/>
        <v>-287</v>
      </c>
    </row>
    <row r="95" spans="1:96" ht="51.75" customHeight="1" x14ac:dyDescent="0.3">
      <c r="A95" s="44" t="s">
        <v>525</v>
      </c>
      <c r="B95" s="51" t="s">
        <v>71</v>
      </c>
      <c r="C95" s="71" t="s">
        <v>189</v>
      </c>
      <c r="D95" s="20" t="s">
        <v>233</v>
      </c>
      <c r="E95" s="27" t="s">
        <v>483</v>
      </c>
      <c r="F95" s="21" t="str">
        <f t="shared" si="107"/>
        <v>нд</v>
      </c>
      <c r="G95" s="46" t="str">
        <f t="shared" si="108"/>
        <v>нд</v>
      </c>
      <c r="H95" s="46" t="str">
        <f t="shared" si="109"/>
        <v>нд</v>
      </c>
      <c r="I95" s="22" t="s">
        <v>131</v>
      </c>
      <c r="J95" s="20" t="s">
        <v>131</v>
      </c>
      <c r="K95" s="20">
        <v>0</v>
      </c>
      <c r="L95" s="20">
        <f t="shared" si="110"/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f t="shared" si="128"/>
        <v>0</v>
      </c>
      <c r="S95" s="20">
        <f t="shared" si="129"/>
        <v>0</v>
      </c>
      <c r="T95" s="20">
        <f t="shared" si="130"/>
        <v>0</v>
      </c>
      <c r="U95" s="20">
        <f t="shared" si="131"/>
        <v>0</v>
      </c>
      <c r="V95" s="20">
        <v>0</v>
      </c>
      <c r="W95" s="20">
        <f t="shared" si="111"/>
        <v>0</v>
      </c>
      <c r="X95" s="20"/>
      <c r="Y95" s="20">
        <f t="shared" si="132"/>
        <v>0</v>
      </c>
      <c r="Z95" s="28"/>
      <c r="AA95" s="20">
        <f t="shared" si="133"/>
        <v>0</v>
      </c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>
        <f t="shared" si="112"/>
        <v>0</v>
      </c>
      <c r="AO95" s="20">
        <f t="shared" si="113"/>
        <v>0</v>
      </c>
      <c r="AP95" s="94" t="s">
        <v>499</v>
      </c>
      <c r="AQ95" s="86"/>
      <c r="AR95" s="85">
        <f t="shared" si="163"/>
        <v>0</v>
      </c>
      <c r="AS95" s="85">
        <f t="shared" si="164"/>
        <v>0</v>
      </c>
      <c r="AT95" s="113">
        <f t="shared" si="39"/>
        <v>0</v>
      </c>
      <c r="AV95" s="105">
        <f t="shared" si="40"/>
        <v>0</v>
      </c>
      <c r="AX95" s="31"/>
      <c r="AY95" s="15"/>
      <c r="AZ95" s="118"/>
      <c r="BA95" s="118"/>
      <c r="BB95" s="118"/>
      <c r="BC95" s="118"/>
      <c r="BD95" s="8"/>
      <c r="BE95" s="118">
        <f t="shared" si="157"/>
        <v>0</v>
      </c>
      <c r="BF95" s="118">
        <f t="shared" si="158"/>
        <v>0</v>
      </c>
      <c r="BG95" s="118">
        <f t="shared" si="159"/>
        <v>0</v>
      </c>
      <c r="BH95" s="118">
        <f t="shared" si="160"/>
        <v>0</v>
      </c>
      <c r="BI95" s="122">
        <f t="shared" si="161"/>
        <v>0</v>
      </c>
      <c r="BJ95" s="118">
        <f t="shared" si="114"/>
        <v>0</v>
      </c>
      <c r="BK95" s="108" t="s">
        <v>131</v>
      </c>
      <c r="BL95" s="8" t="b">
        <f t="shared" si="115"/>
        <v>1</v>
      </c>
      <c r="BM95" s="128">
        <f t="shared" si="145"/>
        <v>0</v>
      </c>
      <c r="BN95" s="129">
        <f t="shared" si="127"/>
        <v>0</v>
      </c>
      <c r="BR95" s="73">
        <f t="shared" si="146"/>
        <v>0</v>
      </c>
      <c r="BS95" s="73">
        <f t="shared" si="147"/>
        <v>0</v>
      </c>
      <c r="BT95" s="73">
        <f t="shared" si="148"/>
        <v>0</v>
      </c>
      <c r="BU95" s="73">
        <f t="shared" si="149"/>
        <v>0</v>
      </c>
      <c r="BV95" s="73">
        <f t="shared" si="150"/>
        <v>0</v>
      </c>
      <c r="BW95" s="73">
        <f t="shared" si="151"/>
        <v>0</v>
      </c>
      <c r="BX95" s="73">
        <f t="shared" si="152"/>
        <v>0</v>
      </c>
      <c r="BY95" s="73">
        <f t="shared" si="153"/>
        <v>0</v>
      </c>
      <c r="BZ95" s="74">
        <f t="shared" si="124"/>
        <v>0</v>
      </c>
      <c r="CB95" s="75">
        <f t="shared" si="154"/>
        <v>0</v>
      </c>
      <c r="CE95" s="8"/>
      <c r="CJ95" s="70">
        <f t="shared" si="162"/>
        <v>0</v>
      </c>
      <c r="CL95" s="163"/>
      <c r="CM95" s="68"/>
      <c r="CN95" s="20"/>
      <c r="CQ95" s="177">
        <f t="shared" si="155"/>
        <v>0</v>
      </c>
      <c r="CR95" s="177">
        <f t="shared" si="156"/>
        <v>0</v>
      </c>
    </row>
    <row r="96" spans="1:96" ht="51.75" customHeight="1" x14ac:dyDescent="0.3">
      <c r="A96" s="44" t="s">
        <v>525</v>
      </c>
      <c r="B96" s="51" t="s">
        <v>71</v>
      </c>
      <c r="C96" s="71" t="s">
        <v>110</v>
      </c>
      <c r="D96" s="20" t="s">
        <v>235</v>
      </c>
      <c r="E96" s="27" t="s">
        <v>483</v>
      </c>
      <c r="F96" s="21" t="str">
        <f t="shared" si="107"/>
        <v>нд</v>
      </c>
      <c r="G96" s="46" t="str">
        <f t="shared" si="108"/>
        <v>нд</v>
      </c>
      <c r="H96" s="46" t="str">
        <f t="shared" si="109"/>
        <v>нд</v>
      </c>
      <c r="I96" s="22" t="s">
        <v>131</v>
      </c>
      <c r="J96" s="20" t="s">
        <v>131</v>
      </c>
      <c r="K96" s="20">
        <v>0</v>
      </c>
      <c r="L96" s="20">
        <f t="shared" si="110"/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f t="shared" si="128"/>
        <v>0</v>
      </c>
      <c r="S96" s="20">
        <f t="shared" si="129"/>
        <v>0</v>
      </c>
      <c r="T96" s="20">
        <f t="shared" si="130"/>
        <v>0</v>
      </c>
      <c r="U96" s="20">
        <f t="shared" si="131"/>
        <v>0</v>
      </c>
      <c r="V96" s="20">
        <v>0</v>
      </c>
      <c r="W96" s="20">
        <f t="shared" si="111"/>
        <v>0</v>
      </c>
      <c r="X96" s="20"/>
      <c r="Y96" s="20">
        <f t="shared" si="132"/>
        <v>0</v>
      </c>
      <c r="Z96" s="28"/>
      <c r="AA96" s="20">
        <f t="shared" si="133"/>
        <v>0</v>
      </c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>
        <f t="shared" si="112"/>
        <v>0</v>
      </c>
      <c r="AO96" s="20">
        <f t="shared" si="113"/>
        <v>0</v>
      </c>
      <c r="AP96" s="94" t="s">
        <v>500</v>
      </c>
      <c r="AQ96" s="86"/>
      <c r="AR96" s="85">
        <f t="shared" si="163"/>
        <v>0</v>
      </c>
      <c r="AS96" s="85">
        <f t="shared" si="164"/>
        <v>0</v>
      </c>
      <c r="AT96" s="113">
        <f t="shared" si="39"/>
        <v>0</v>
      </c>
      <c r="AV96" s="105">
        <f t="shared" si="40"/>
        <v>0</v>
      </c>
      <c r="AX96" s="31"/>
      <c r="AY96" s="15"/>
      <c r="AZ96" s="118"/>
      <c r="BA96" s="118"/>
      <c r="BB96" s="118"/>
      <c r="BC96" s="118"/>
      <c r="BD96" s="8"/>
      <c r="BE96" s="118">
        <f t="shared" si="157"/>
        <v>0</v>
      </c>
      <c r="BF96" s="118">
        <f t="shared" si="158"/>
        <v>0</v>
      </c>
      <c r="BG96" s="118">
        <f t="shared" si="159"/>
        <v>0</v>
      </c>
      <c r="BH96" s="118">
        <f t="shared" si="160"/>
        <v>0</v>
      </c>
      <c r="BI96" s="122">
        <f t="shared" si="161"/>
        <v>0</v>
      </c>
      <c r="BJ96" s="118">
        <f t="shared" si="114"/>
        <v>0</v>
      </c>
      <c r="BK96" s="108" t="s">
        <v>131</v>
      </c>
      <c r="BL96" s="8" t="b">
        <f t="shared" si="115"/>
        <v>1</v>
      </c>
      <c r="BM96" s="128">
        <f t="shared" si="145"/>
        <v>0</v>
      </c>
      <c r="BN96" s="129">
        <f t="shared" si="127"/>
        <v>0</v>
      </c>
      <c r="BR96" s="73">
        <f t="shared" si="146"/>
        <v>0</v>
      </c>
      <c r="BS96" s="73">
        <f t="shared" si="147"/>
        <v>0</v>
      </c>
      <c r="BT96" s="73">
        <f t="shared" si="148"/>
        <v>0</v>
      </c>
      <c r="BU96" s="73">
        <f t="shared" si="149"/>
        <v>0</v>
      </c>
      <c r="BV96" s="73">
        <f t="shared" si="150"/>
        <v>0</v>
      </c>
      <c r="BW96" s="73">
        <f t="shared" si="151"/>
        <v>0</v>
      </c>
      <c r="BX96" s="73">
        <f t="shared" si="152"/>
        <v>0</v>
      </c>
      <c r="BY96" s="73">
        <f t="shared" si="153"/>
        <v>0</v>
      </c>
      <c r="BZ96" s="74">
        <f t="shared" si="124"/>
        <v>0</v>
      </c>
      <c r="CB96" s="75">
        <f t="shared" si="154"/>
        <v>0</v>
      </c>
      <c r="CE96" s="8"/>
      <c r="CJ96" s="70">
        <f t="shared" si="162"/>
        <v>0</v>
      </c>
      <c r="CL96" s="163"/>
      <c r="CM96" s="68"/>
      <c r="CN96" s="20"/>
      <c r="CQ96" s="177">
        <f t="shared" si="155"/>
        <v>0</v>
      </c>
      <c r="CR96" s="177">
        <f t="shared" si="156"/>
        <v>0</v>
      </c>
    </row>
    <row r="97" spans="1:96" ht="51.75" customHeight="1" x14ac:dyDescent="0.3">
      <c r="A97" s="44" t="s">
        <v>525</v>
      </c>
      <c r="B97" s="51" t="s">
        <v>71</v>
      </c>
      <c r="C97" s="71" t="s">
        <v>190</v>
      </c>
      <c r="D97" s="20" t="s">
        <v>237</v>
      </c>
      <c r="E97" s="27" t="s">
        <v>483</v>
      </c>
      <c r="F97" s="21" t="str">
        <f t="shared" si="107"/>
        <v>нд</v>
      </c>
      <c r="G97" s="46" t="str">
        <f t="shared" si="108"/>
        <v>нд</v>
      </c>
      <c r="H97" s="46" t="str">
        <f t="shared" si="109"/>
        <v>нд</v>
      </c>
      <c r="I97" s="22" t="s">
        <v>131</v>
      </c>
      <c r="J97" s="20" t="s">
        <v>131</v>
      </c>
      <c r="K97" s="20">
        <v>0</v>
      </c>
      <c r="L97" s="20">
        <f t="shared" si="110"/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f t="shared" si="128"/>
        <v>0</v>
      </c>
      <c r="S97" s="20">
        <f t="shared" si="129"/>
        <v>0</v>
      </c>
      <c r="T97" s="20">
        <f t="shared" si="130"/>
        <v>0</v>
      </c>
      <c r="U97" s="20">
        <f t="shared" si="131"/>
        <v>0</v>
      </c>
      <c r="V97" s="20">
        <v>0</v>
      </c>
      <c r="W97" s="20">
        <f t="shared" si="111"/>
        <v>0</v>
      </c>
      <c r="X97" s="20"/>
      <c r="Y97" s="20">
        <f t="shared" si="132"/>
        <v>0</v>
      </c>
      <c r="Z97" s="28"/>
      <c r="AA97" s="20">
        <f t="shared" si="133"/>
        <v>0</v>
      </c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>
        <f t="shared" si="112"/>
        <v>0</v>
      </c>
      <c r="AO97" s="20">
        <f t="shared" si="113"/>
        <v>0</v>
      </c>
      <c r="AP97" s="94" t="s">
        <v>499</v>
      </c>
      <c r="AQ97" s="86"/>
      <c r="AR97" s="85">
        <f t="shared" si="163"/>
        <v>0</v>
      </c>
      <c r="AS97" s="85">
        <f t="shared" si="164"/>
        <v>0</v>
      </c>
      <c r="AT97" s="113">
        <f t="shared" si="39"/>
        <v>0</v>
      </c>
      <c r="AV97" s="105">
        <f t="shared" si="40"/>
        <v>0</v>
      </c>
      <c r="AX97" s="31"/>
      <c r="AY97" s="15"/>
      <c r="AZ97" s="118"/>
      <c r="BA97" s="118"/>
      <c r="BB97" s="118"/>
      <c r="BC97" s="118"/>
      <c r="BD97" s="8"/>
      <c r="BE97" s="118">
        <f t="shared" si="157"/>
        <v>0</v>
      </c>
      <c r="BF97" s="118">
        <f t="shared" si="158"/>
        <v>0</v>
      </c>
      <c r="BG97" s="118">
        <f t="shared" si="159"/>
        <v>0</v>
      </c>
      <c r="BH97" s="118">
        <f t="shared" si="160"/>
        <v>0</v>
      </c>
      <c r="BI97" s="122">
        <f t="shared" si="161"/>
        <v>0</v>
      </c>
      <c r="BJ97" s="118">
        <f t="shared" si="114"/>
        <v>0</v>
      </c>
      <c r="BK97" s="108" t="s">
        <v>131</v>
      </c>
      <c r="BL97" s="8" t="b">
        <f t="shared" si="115"/>
        <v>1</v>
      </c>
      <c r="BM97" s="128">
        <f t="shared" si="145"/>
        <v>0</v>
      </c>
      <c r="BN97" s="129">
        <f t="shared" si="127"/>
        <v>0</v>
      </c>
      <c r="BR97" s="73">
        <f t="shared" si="146"/>
        <v>0</v>
      </c>
      <c r="BS97" s="73">
        <f t="shared" si="147"/>
        <v>0</v>
      </c>
      <c r="BT97" s="73">
        <f t="shared" si="148"/>
        <v>0</v>
      </c>
      <c r="BU97" s="73">
        <f t="shared" si="149"/>
        <v>0</v>
      </c>
      <c r="BV97" s="73">
        <f t="shared" si="150"/>
        <v>0</v>
      </c>
      <c r="BW97" s="73">
        <f t="shared" si="151"/>
        <v>0</v>
      </c>
      <c r="BX97" s="73">
        <f t="shared" si="152"/>
        <v>0</v>
      </c>
      <c r="BY97" s="73">
        <f t="shared" si="153"/>
        <v>0</v>
      </c>
      <c r="BZ97" s="74">
        <f t="shared" si="124"/>
        <v>0</v>
      </c>
      <c r="CB97" s="75">
        <f t="shared" si="154"/>
        <v>0</v>
      </c>
      <c r="CE97" s="8"/>
      <c r="CJ97" s="70">
        <f t="shared" si="162"/>
        <v>0</v>
      </c>
      <c r="CL97" s="163"/>
      <c r="CM97" s="68"/>
      <c r="CN97" s="20"/>
      <c r="CQ97" s="177">
        <f t="shared" si="155"/>
        <v>0</v>
      </c>
      <c r="CR97" s="177">
        <f t="shared" si="156"/>
        <v>0</v>
      </c>
    </row>
    <row r="98" spans="1:96" ht="51.75" customHeight="1" x14ac:dyDescent="0.3">
      <c r="A98" s="44" t="s">
        <v>525</v>
      </c>
      <c r="B98" s="51" t="s">
        <v>71</v>
      </c>
      <c r="C98" s="71" t="s">
        <v>137</v>
      </c>
      <c r="D98" s="20" t="s">
        <v>238</v>
      </c>
      <c r="E98" s="27" t="s">
        <v>483</v>
      </c>
      <c r="F98" s="21" t="str">
        <f t="shared" si="107"/>
        <v>нд</v>
      </c>
      <c r="G98" s="46" t="str">
        <f t="shared" si="108"/>
        <v>нд</v>
      </c>
      <c r="H98" s="46" t="str">
        <f t="shared" si="109"/>
        <v>нд</v>
      </c>
      <c r="I98" s="22" t="s">
        <v>131</v>
      </c>
      <c r="J98" s="20" t="s">
        <v>131</v>
      </c>
      <c r="K98" s="20">
        <v>0</v>
      </c>
      <c r="L98" s="20">
        <f t="shared" si="110"/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f t="shared" si="128"/>
        <v>0</v>
      </c>
      <c r="S98" s="20">
        <f t="shared" si="129"/>
        <v>0</v>
      </c>
      <c r="T98" s="20">
        <f t="shared" si="130"/>
        <v>0</v>
      </c>
      <c r="U98" s="20">
        <f t="shared" si="131"/>
        <v>0</v>
      </c>
      <c r="V98" s="20">
        <v>0</v>
      </c>
      <c r="W98" s="20">
        <f t="shared" si="111"/>
        <v>0</v>
      </c>
      <c r="X98" s="20"/>
      <c r="Y98" s="20">
        <f t="shared" si="132"/>
        <v>0</v>
      </c>
      <c r="Z98" s="28"/>
      <c r="AA98" s="20">
        <f t="shared" si="133"/>
        <v>0</v>
      </c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>
        <f t="shared" si="112"/>
        <v>0</v>
      </c>
      <c r="AO98" s="20">
        <f t="shared" si="113"/>
        <v>0</v>
      </c>
      <c r="AP98" s="94" t="s">
        <v>500</v>
      </c>
      <c r="AQ98" s="86"/>
      <c r="AR98" s="85">
        <f t="shared" si="163"/>
        <v>0</v>
      </c>
      <c r="AS98" s="85">
        <f t="shared" si="164"/>
        <v>0</v>
      </c>
      <c r="AT98" s="113">
        <f t="shared" si="39"/>
        <v>0</v>
      </c>
      <c r="AV98" s="105">
        <f t="shared" si="40"/>
        <v>0</v>
      </c>
      <c r="AX98" s="31"/>
      <c r="AY98" s="15"/>
      <c r="AZ98" s="118"/>
      <c r="BA98" s="118"/>
      <c r="BB98" s="118"/>
      <c r="BC98" s="118"/>
      <c r="BD98" s="8"/>
      <c r="BE98" s="118">
        <f t="shared" si="157"/>
        <v>0</v>
      </c>
      <c r="BF98" s="118">
        <f t="shared" si="158"/>
        <v>0</v>
      </c>
      <c r="BG98" s="118">
        <f t="shared" si="159"/>
        <v>0</v>
      </c>
      <c r="BH98" s="118">
        <f t="shared" si="160"/>
        <v>0</v>
      </c>
      <c r="BI98" s="122">
        <f t="shared" si="161"/>
        <v>0</v>
      </c>
      <c r="BJ98" s="118">
        <f t="shared" si="114"/>
        <v>0</v>
      </c>
      <c r="BK98" s="108" t="s">
        <v>131</v>
      </c>
      <c r="BL98" s="8" t="b">
        <f t="shared" si="115"/>
        <v>1</v>
      </c>
      <c r="BM98" s="128">
        <f t="shared" si="145"/>
        <v>0</v>
      </c>
      <c r="BN98" s="129">
        <f t="shared" si="127"/>
        <v>0</v>
      </c>
      <c r="BR98" s="73">
        <f t="shared" si="146"/>
        <v>0</v>
      </c>
      <c r="BS98" s="73">
        <f t="shared" si="147"/>
        <v>0</v>
      </c>
      <c r="BT98" s="73">
        <f t="shared" si="148"/>
        <v>0</v>
      </c>
      <c r="BU98" s="73">
        <f t="shared" si="149"/>
        <v>0</v>
      </c>
      <c r="BV98" s="73">
        <f t="shared" si="150"/>
        <v>0</v>
      </c>
      <c r="BW98" s="73">
        <f t="shared" si="151"/>
        <v>0</v>
      </c>
      <c r="BX98" s="73">
        <f t="shared" si="152"/>
        <v>0</v>
      </c>
      <c r="BY98" s="73">
        <f t="shared" si="153"/>
        <v>0</v>
      </c>
      <c r="BZ98" s="74">
        <f t="shared" si="124"/>
        <v>0</v>
      </c>
      <c r="CB98" s="75">
        <f t="shared" si="154"/>
        <v>0</v>
      </c>
      <c r="CE98" s="8"/>
      <c r="CJ98" s="70">
        <f t="shared" si="162"/>
        <v>0</v>
      </c>
      <c r="CL98" s="163"/>
      <c r="CM98" s="68"/>
      <c r="CN98" s="20"/>
      <c r="CQ98" s="177">
        <f t="shared" si="155"/>
        <v>0</v>
      </c>
      <c r="CR98" s="177">
        <f t="shared" si="156"/>
        <v>0</v>
      </c>
    </row>
    <row r="99" spans="1:96" ht="51.75" customHeight="1" x14ac:dyDescent="0.3">
      <c r="A99" s="44" t="s">
        <v>525</v>
      </c>
      <c r="B99" s="51" t="s">
        <v>71</v>
      </c>
      <c r="C99" s="71" t="s">
        <v>143</v>
      </c>
      <c r="D99" s="20" t="s">
        <v>239</v>
      </c>
      <c r="E99" s="27" t="s">
        <v>483</v>
      </c>
      <c r="F99" s="21" t="str">
        <f t="shared" si="107"/>
        <v>нд</v>
      </c>
      <c r="G99" s="46" t="str">
        <f t="shared" si="108"/>
        <v>нд</v>
      </c>
      <c r="H99" s="46" t="str">
        <f t="shared" si="109"/>
        <v>нд</v>
      </c>
      <c r="I99" s="22" t="s">
        <v>131</v>
      </c>
      <c r="J99" s="20" t="s">
        <v>131</v>
      </c>
      <c r="K99" s="20">
        <v>0</v>
      </c>
      <c r="L99" s="20">
        <f t="shared" si="110"/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f t="shared" si="128"/>
        <v>0</v>
      </c>
      <c r="S99" s="20">
        <f t="shared" si="129"/>
        <v>0</v>
      </c>
      <c r="T99" s="20">
        <f t="shared" si="130"/>
        <v>0</v>
      </c>
      <c r="U99" s="20">
        <f t="shared" si="131"/>
        <v>0</v>
      </c>
      <c r="V99" s="20">
        <v>0</v>
      </c>
      <c r="W99" s="20">
        <f t="shared" si="111"/>
        <v>0</v>
      </c>
      <c r="X99" s="20"/>
      <c r="Y99" s="20">
        <f t="shared" si="132"/>
        <v>0</v>
      </c>
      <c r="Z99" s="28"/>
      <c r="AA99" s="20">
        <f t="shared" si="133"/>
        <v>0</v>
      </c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>
        <f t="shared" si="112"/>
        <v>0</v>
      </c>
      <c r="AO99" s="20">
        <f t="shared" si="113"/>
        <v>0</v>
      </c>
      <c r="AP99" s="94" t="s">
        <v>499</v>
      </c>
      <c r="AQ99" s="86"/>
      <c r="AR99" s="85">
        <f t="shared" si="163"/>
        <v>0</v>
      </c>
      <c r="AS99" s="85">
        <f t="shared" si="164"/>
        <v>0</v>
      </c>
      <c r="AT99" s="113">
        <f t="shared" si="39"/>
        <v>0</v>
      </c>
      <c r="AV99" s="105">
        <f t="shared" si="40"/>
        <v>0</v>
      </c>
      <c r="AX99" s="31"/>
      <c r="AY99" s="15"/>
      <c r="AZ99" s="118"/>
      <c r="BA99" s="118"/>
      <c r="BB99" s="118"/>
      <c r="BC99" s="118"/>
      <c r="BD99" s="8"/>
      <c r="BE99" s="118">
        <f t="shared" si="157"/>
        <v>0</v>
      </c>
      <c r="BF99" s="118">
        <f t="shared" si="158"/>
        <v>0</v>
      </c>
      <c r="BG99" s="118">
        <f t="shared" si="159"/>
        <v>0</v>
      </c>
      <c r="BH99" s="118">
        <f t="shared" si="160"/>
        <v>0</v>
      </c>
      <c r="BI99" s="122">
        <f t="shared" si="161"/>
        <v>0</v>
      </c>
      <c r="BJ99" s="118">
        <f t="shared" si="114"/>
        <v>0</v>
      </c>
      <c r="BK99" s="108" t="s">
        <v>131</v>
      </c>
      <c r="BL99" s="8" t="b">
        <f t="shared" si="115"/>
        <v>1</v>
      </c>
      <c r="BM99" s="128">
        <f t="shared" si="145"/>
        <v>0</v>
      </c>
      <c r="BN99" s="129">
        <f t="shared" si="127"/>
        <v>0</v>
      </c>
      <c r="BR99" s="73">
        <f t="shared" si="146"/>
        <v>0</v>
      </c>
      <c r="BS99" s="73">
        <f t="shared" si="147"/>
        <v>0</v>
      </c>
      <c r="BT99" s="73">
        <f t="shared" si="148"/>
        <v>0</v>
      </c>
      <c r="BU99" s="73">
        <f t="shared" si="149"/>
        <v>0</v>
      </c>
      <c r="BV99" s="73">
        <f t="shared" si="150"/>
        <v>0</v>
      </c>
      <c r="BW99" s="73">
        <f t="shared" si="151"/>
        <v>0</v>
      </c>
      <c r="BX99" s="73">
        <f t="shared" si="152"/>
        <v>0</v>
      </c>
      <c r="BY99" s="73">
        <f t="shared" si="153"/>
        <v>0</v>
      </c>
      <c r="BZ99" s="74">
        <f t="shared" si="124"/>
        <v>0</v>
      </c>
      <c r="CB99" s="75">
        <f t="shared" si="154"/>
        <v>0</v>
      </c>
      <c r="CE99" s="8"/>
      <c r="CJ99" s="70">
        <f t="shared" si="162"/>
        <v>0</v>
      </c>
      <c r="CL99" s="163"/>
      <c r="CM99" s="68"/>
      <c r="CN99" s="20"/>
      <c r="CQ99" s="177">
        <f t="shared" si="155"/>
        <v>0</v>
      </c>
      <c r="CR99" s="177">
        <f t="shared" si="156"/>
        <v>0</v>
      </c>
    </row>
    <row r="100" spans="1:96" ht="51.75" customHeight="1" x14ac:dyDescent="0.3">
      <c r="A100" s="44" t="s">
        <v>525</v>
      </c>
      <c r="B100" s="51" t="s">
        <v>71</v>
      </c>
      <c r="C100" s="71" t="s">
        <v>162</v>
      </c>
      <c r="D100" s="28" t="s">
        <v>300</v>
      </c>
      <c r="E100" s="27" t="s">
        <v>483</v>
      </c>
      <c r="F100" s="21" t="str">
        <f t="shared" si="107"/>
        <v>нд</v>
      </c>
      <c r="G100" s="46" t="str">
        <f t="shared" si="108"/>
        <v>нд</v>
      </c>
      <c r="H100" s="46" t="str">
        <f t="shared" si="109"/>
        <v>нд</v>
      </c>
      <c r="I100" s="29" t="s">
        <v>131</v>
      </c>
      <c r="J100" s="28" t="s">
        <v>131</v>
      </c>
      <c r="K100" s="20">
        <v>0</v>
      </c>
      <c r="L100" s="20">
        <f t="shared" si="110"/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f t="shared" si="128"/>
        <v>0</v>
      </c>
      <c r="S100" s="20">
        <f t="shared" si="129"/>
        <v>0</v>
      </c>
      <c r="T100" s="20">
        <f t="shared" si="130"/>
        <v>0</v>
      </c>
      <c r="U100" s="20">
        <f t="shared" si="131"/>
        <v>0</v>
      </c>
      <c r="V100" s="20">
        <v>0</v>
      </c>
      <c r="W100" s="20">
        <f t="shared" si="111"/>
        <v>0</v>
      </c>
      <c r="X100" s="20"/>
      <c r="Y100" s="20">
        <f t="shared" si="132"/>
        <v>0</v>
      </c>
      <c r="Z100" s="28"/>
      <c r="AA100" s="20">
        <f t="shared" si="133"/>
        <v>0</v>
      </c>
      <c r="AB100" s="28"/>
      <c r="AC100" s="20"/>
      <c r="AD100" s="28"/>
      <c r="AE100" s="28"/>
      <c r="AF100" s="28"/>
      <c r="AG100" s="28"/>
      <c r="AH100" s="28"/>
      <c r="AI100" s="28"/>
      <c r="AJ100" s="28"/>
      <c r="AK100" s="20"/>
      <c r="AL100" s="28"/>
      <c r="AM100" s="28"/>
      <c r="AN100" s="28">
        <f t="shared" si="112"/>
        <v>0</v>
      </c>
      <c r="AO100" s="28">
        <f t="shared" si="113"/>
        <v>0</v>
      </c>
      <c r="AP100" s="94" t="s">
        <v>499</v>
      </c>
      <c r="AQ100" s="86"/>
      <c r="AR100" s="85">
        <f t="shared" si="163"/>
        <v>0</v>
      </c>
      <c r="AS100" s="85">
        <f t="shared" si="164"/>
        <v>0</v>
      </c>
      <c r="AT100" s="113">
        <f t="shared" si="39"/>
        <v>0</v>
      </c>
      <c r="AV100" s="105">
        <f t="shared" si="40"/>
        <v>0</v>
      </c>
      <c r="AX100" s="31"/>
      <c r="AY100" s="15"/>
      <c r="AZ100" s="118"/>
      <c r="BA100" s="118"/>
      <c r="BB100" s="118"/>
      <c r="BC100" s="118"/>
      <c r="BD100" s="8"/>
      <c r="BE100" s="118">
        <f t="shared" si="157"/>
        <v>0</v>
      </c>
      <c r="BF100" s="118">
        <f t="shared" si="158"/>
        <v>0</v>
      </c>
      <c r="BG100" s="118">
        <f t="shared" si="159"/>
        <v>0</v>
      </c>
      <c r="BH100" s="118">
        <f t="shared" si="160"/>
        <v>0</v>
      </c>
      <c r="BI100" s="122">
        <f t="shared" si="161"/>
        <v>0</v>
      </c>
      <c r="BJ100" s="118">
        <f t="shared" si="114"/>
        <v>0</v>
      </c>
      <c r="BK100" s="108" t="s">
        <v>131</v>
      </c>
      <c r="BL100" s="8" t="b">
        <f t="shared" si="115"/>
        <v>1</v>
      </c>
      <c r="BM100" s="128">
        <f t="shared" si="145"/>
        <v>0</v>
      </c>
      <c r="BN100" s="129">
        <f t="shared" si="127"/>
        <v>0</v>
      </c>
      <c r="BR100" s="73">
        <f t="shared" si="146"/>
        <v>0</v>
      </c>
      <c r="BS100" s="73">
        <f t="shared" si="147"/>
        <v>0</v>
      </c>
      <c r="BT100" s="73">
        <f t="shared" si="148"/>
        <v>0</v>
      </c>
      <c r="BU100" s="73">
        <f t="shared" si="149"/>
        <v>0</v>
      </c>
      <c r="BV100" s="73">
        <f t="shared" si="150"/>
        <v>0</v>
      </c>
      <c r="BW100" s="73">
        <f t="shared" si="151"/>
        <v>0</v>
      </c>
      <c r="BX100" s="73">
        <f t="shared" si="152"/>
        <v>0</v>
      </c>
      <c r="BY100" s="73">
        <f t="shared" si="153"/>
        <v>0</v>
      </c>
      <c r="BZ100" s="74">
        <f t="shared" si="124"/>
        <v>0</v>
      </c>
      <c r="CB100" s="75">
        <f t="shared" si="154"/>
        <v>0</v>
      </c>
      <c r="CE100" s="8"/>
      <c r="CJ100" s="70">
        <f t="shared" si="162"/>
        <v>0</v>
      </c>
      <c r="CL100" s="163"/>
      <c r="CM100" s="68"/>
      <c r="CN100" s="28"/>
      <c r="CQ100" s="177">
        <f t="shared" si="155"/>
        <v>0</v>
      </c>
      <c r="CR100" s="177">
        <f t="shared" si="156"/>
        <v>0</v>
      </c>
    </row>
    <row r="101" spans="1:96" ht="51.75" customHeight="1" x14ac:dyDescent="0.3">
      <c r="A101" s="44" t="s">
        <v>525</v>
      </c>
      <c r="B101" s="51" t="s">
        <v>71</v>
      </c>
      <c r="C101" s="71" t="s">
        <v>165</v>
      </c>
      <c r="D101" s="28" t="s">
        <v>208</v>
      </c>
      <c r="E101" s="27" t="s">
        <v>483</v>
      </c>
      <c r="F101" s="21" t="str">
        <f t="shared" si="107"/>
        <v>нд</v>
      </c>
      <c r="G101" s="46" t="str">
        <f t="shared" si="108"/>
        <v>нд</v>
      </c>
      <c r="H101" s="46" t="str">
        <f t="shared" si="109"/>
        <v>нд</v>
      </c>
      <c r="I101" s="29" t="s">
        <v>131</v>
      </c>
      <c r="J101" s="28" t="s">
        <v>131</v>
      </c>
      <c r="K101" s="20">
        <v>0</v>
      </c>
      <c r="L101" s="20">
        <f t="shared" si="110"/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0">
        <f t="shared" si="128"/>
        <v>0</v>
      </c>
      <c r="S101" s="20">
        <f t="shared" si="129"/>
        <v>0</v>
      </c>
      <c r="T101" s="20">
        <f t="shared" si="130"/>
        <v>0</v>
      </c>
      <c r="U101" s="20">
        <f t="shared" si="131"/>
        <v>0</v>
      </c>
      <c r="V101" s="20">
        <v>0</v>
      </c>
      <c r="W101" s="20">
        <f t="shared" si="111"/>
        <v>0</v>
      </c>
      <c r="X101" s="20"/>
      <c r="Y101" s="20">
        <f t="shared" si="132"/>
        <v>0</v>
      </c>
      <c r="Z101" s="28"/>
      <c r="AA101" s="20">
        <f t="shared" si="133"/>
        <v>0</v>
      </c>
      <c r="AB101" s="28"/>
      <c r="AC101" s="20"/>
      <c r="AD101" s="28"/>
      <c r="AE101" s="28"/>
      <c r="AF101" s="28"/>
      <c r="AG101" s="28"/>
      <c r="AH101" s="28"/>
      <c r="AI101" s="28"/>
      <c r="AJ101" s="28"/>
      <c r="AK101" s="20"/>
      <c r="AL101" s="28"/>
      <c r="AM101" s="28"/>
      <c r="AN101" s="28">
        <f t="shared" si="112"/>
        <v>0</v>
      </c>
      <c r="AO101" s="28">
        <f t="shared" si="113"/>
        <v>0</v>
      </c>
      <c r="AP101" s="94" t="s">
        <v>499</v>
      </c>
      <c r="AQ101" s="86"/>
      <c r="AR101" s="85">
        <f t="shared" si="163"/>
        <v>0</v>
      </c>
      <c r="AS101" s="85">
        <f t="shared" si="164"/>
        <v>0</v>
      </c>
      <c r="AT101" s="113">
        <f t="shared" si="39"/>
        <v>0</v>
      </c>
      <c r="AV101" s="105">
        <f t="shared" ref="AV101:AV164" si="165">Q101-K101-AC101-AE101-AG101-AI101-AK101-AM101</f>
        <v>0</v>
      </c>
      <c r="AX101" s="31"/>
      <c r="AY101" s="15"/>
      <c r="AZ101" s="118"/>
      <c r="BA101" s="118"/>
      <c r="BB101" s="118"/>
      <c r="BC101" s="118"/>
      <c r="BD101" s="8"/>
      <c r="BE101" s="118">
        <f t="shared" si="157"/>
        <v>0</v>
      </c>
      <c r="BF101" s="118">
        <f t="shared" si="158"/>
        <v>0</v>
      </c>
      <c r="BG101" s="118">
        <f t="shared" si="159"/>
        <v>0</v>
      </c>
      <c r="BH101" s="118">
        <f t="shared" si="160"/>
        <v>0</v>
      </c>
      <c r="BI101" s="122">
        <f t="shared" si="161"/>
        <v>0</v>
      </c>
      <c r="BJ101" s="118">
        <f t="shared" si="114"/>
        <v>0</v>
      </c>
      <c r="BK101" s="108" t="s">
        <v>131</v>
      </c>
      <c r="BL101" s="8" t="b">
        <f t="shared" si="115"/>
        <v>1</v>
      </c>
      <c r="BM101" s="128">
        <f t="shared" si="145"/>
        <v>0</v>
      </c>
      <c r="BN101" s="129">
        <f t="shared" si="127"/>
        <v>0</v>
      </c>
      <c r="BR101" s="73">
        <f t="shared" si="146"/>
        <v>0</v>
      </c>
      <c r="BS101" s="73">
        <f t="shared" si="147"/>
        <v>0</v>
      </c>
      <c r="BT101" s="73">
        <f t="shared" si="148"/>
        <v>0</v>
      </c>
      <c r="BU101" s="73">
        <f t="shared" si="149"/>
        <v>0</v>
      </c>
      <c r="BV101" s="73">
        <f t="shared" si="150"/>
        <v>0</v>
      </c>
      <c r="BW101" s="73">
        <f t="shared" si="151"/>
        <v>0</v>
      </c>
      <c r="BX101" s="73">
        <f t="shared" si="152"/>
        <v>0</v>
      </c>
      <c r="BY101" s="73">
        <f t="shared" si="153"/>
        <v>0</v>
      </c>
      <c r="BZ101" s="74">
        <f t="shared" si="124"/>
        <v>0</v>
      </c>
      <c r="CB101" s="75">
        <f t="shared" si="154"/>
        <v>0</v>
      </c>
      <c r="CE101" s="8"/>
      <c r="CJ101" s="70">
        <f t="shared" si="162"/>
        <v>0</v>
      </c>
      <c r="CL101" s="163"/>
      <c r="CM101" s="68"/>
      <c r="CN101" s="28"/>
      <c r="CQ101" s="177">
        <f t="shared" si="155"/>
        <v>0</v>
      </c>
      <c r="CR101" s="177">
        <f t="shared" si="156"/>
        <v>0</v>
      </c>
    </row>
    <row r="102" spans="1:96" ht="51.75" customHeight="1" x14ac:dyDescent="0.3">
      <c r="A102" s="44" t="s">
        <v>525</v>
      </c>
      <c r="B102" s="51" t="s">
        <v>71</v>
      </c>
      <c r="C102" s="71" t="s">
        <v>168</v>
      </c>
      <c r="D102" s="28" t="s">
        <v>308</v>
      </c>
      <c r="E102" s="27" t="s">
        <v>483</v>
      </c>
      <c r="F102" s="21" t="str">
        <f t="shared" si="107"/>
        <v>нд</v>
      </c>
      <c r="G102" s="46" t="str">
        <f t="shared" si="108"/>
        <v>нд</v>
      </c>
      <c r="H102" s="46" t="str">
        <f t="shared" si="109"/>
        <v>нд</v>
      </c>
      <c r="I102" s="29" t="s">
        <v>131</v>
      </c>
      <c r="J102" s="28" t="s">
        <v>131</v>
      </c>
      <c r="K102" s="20">
        <v>0</v>
      </c>
      <c r="L102" s="20">
        <f t="shared" si="110"/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f t="shared" si="128"/>
        <v>0</v>
      </c>
      <c r="S102" s="20">
        <f t="shared" si="129"/>
        <v>0</v>
      </c>
      <c r="T102" s="20">
        <f t="shared" si="130"/>
        <v>0</v>
      </c>
      <c r="U102" s="20">
        <f t="shared" si="131"/>
        <v>0</v>
      </c>
      <c r="V102" s="20">
        <v>0</v>
      </c>
      <c r="W102" s="20">
        <f t="shared" si="111"/>
        <v>0</v>
      </c>
      <c r="X102" s="20"/>
      <c r="Y102" s="20">
        <f t="shared" si="132"/>
        <v>0</v>
      </c>
      <c r="Z102" s="28"/>
      <c r="AA102" s="20">
        <f t="shared" si="133"/>
        <v>0</v>
      </c>
      <c r="AB102" s="28"/>
      <c r="AC102" s="20"/>
      <c r="AD102" s="28"/>
      <c r="AE102" s="28"/>
      <c r="AF102" s="28"/>
      <c r="AG102" s="28"/>
      <c r="AH102" s="28"/>
      <c r="AI102" s="28"/>
      <c r="AJ102" s="28"/>
      <c r="AK102" s="20"/>
      <c r="AL102" s="28"/>
      <c r="AM102" s="28"/>
      <c r="AN102" s="28">
        <f t="shared" si="112"/>
        <v>0</v>
      </c>
      <c r="AO102" s="28">
        <f t="shared" si="113"/>
        <v>0</v>
      </c>
      <c r="AP102" s="94" t="s">
        <v>499</v>
      </c>
      <c r="AQ102" s="86"/>
      <c r="AR102" s="85">
        <f t="shared" si="163"/>
        <v>0</v>
      </c>
      <c r="AS102" s="85">
        <f t="shared" si="164"/>
        <v>0</v>
      </c>
      <c r="AT102" s="113">
        <f t="shared" ref="AT102:AT165" si="166">Q102-L102</f>
        <v>0</v>
      </c>
      <c r="AV102" s="105">
        <f t="shared" si="165"/>
        <v>0</v>
      </c>
      <c r="AX102" s="31"/>
      <c r="AY102" s="15"/>
      <c r="AZ102" s="118"/>
      <c r="BA102" s="118"/>
      <c r="BB102" s="118"/>
      <c r="BC102" s="118"/>
      <c r="BD102" s="8"/>
      <c r="BE102" s="118">
        <f t="shared" si="157"/>
        <v>0</v>
      </c>
      <c r="BF102" s="118">
        <f t="shared" si="158"/>
        <v>0</v>
      </c>
      <c r="BG102" s="118">
        <f t="shared" si="159"/>
        <v>0</v>
      </c>
      <c r="BH102" s="118">
        <f t="shared" si="160"/>
        <v>0</v>
      </c>
      <c r="BI102" s="122">
        <f t="shared" si="161"/>
        <v>0</v>
      </c>
      <c r="BJ102" s="118">
        <f t="shared" si="114"/>
        <v>0</v>
      </c>
      <c r="BK102" s="108" t="s">
        <v>131</v>
      </c>
      <c r="BL102" s="8" t="b">
        <f t="shared" si="115"/>
        <v>1</v>
      </c>
      <c r="BM102" s="128">
        <f t="shared" si="145"/>
        <v>0</v>
      </c>
      <c r="BN102" s="129">
        <f t="shared" si="127"/>
        <v>0</v>
      </c>
      <c r="BR102" s="73">
        <f t="shared" si="146"/>
        <v>0</v>
      </c>
      <c r="BS102" s="73">
        <f t="shared" si="147"/>
        <v>0</v>
      </c>
      <c r="BT102" s="73">
        <f t="shared" si="148"/>
        <v>0</v>
      </c>
      <c r="BU102" s="73">
        <f t="shared" si="149"/>
        <v>0</v>
      </c>
      <c r="BV102" s="73">
        <f t="shared" si="150"/>
        <v>0</v>
      </c>
      <c r="BW102" s="73">
        <f t="shared" si="151"/>
        <v>0</v>
      </c>
      <c r="BX102" s="73">
        <f t="shared" si="152"/>
        <v>0</v>
      </c>
      <c r="BY102" s="73">
        <f t="shared" si="153"/>
        <v>0</v>
      </c>
      <c r="BZ102" s="74">
        <f t="shared" si="124"/>
        <v>0</v>
      </c>
      <c r="CB102" s="75">
        <f t="shared" si="154"/>
        <v>0</v>
      </c>
      <c r="CE102" s="8"/>
      <c r="CJ102" s="70">
        <f t="shared" si="162"/>
        <v>0</v>
      </c>
      <c r="CL102" s="163"/>
      <c r="CM102" s="68"/>
      <c r="CN102" s="28"/>
      <c r="CQ102" s="177">
        <f t="shared" si="155"/>
        <v>0</v>
      </c>
      <c r="CR102" s="177">
        <f t="shared" si="156"/>
        <v>0</v>
      </c>
    </row>
    <row r="103" spans="1:96" ht="51.75" customHeight="1" x14ac:dyDescent="0.3">
      <c r="A103" s="44" t="s">
        <v>525</v>
      </c>
      <c r="B103" s="51" t="s">
        <v>71</v>
      </c>
      <c r="C103" s="71" t="s">
        <v>170</v>
      </c>
      <c r="D103" s="28" t="s">
        <v>212</v>
      </c>
      <c r="E103" s="27" t="s">
        <v>483</v>
      </c>
      <c r="F103" s="21" t="str">
        <f t="shared" si="107"/>
        <v>нд</v>
      </c>
      <c r="G103" s="46" t="str">
        <f t="shared" si="108"/>
        <v>нд</v>
      </c>
      <c r="H103" s="46" t="str">
        <f t="shared" si="109"/>
        <v>нд</v>
      </c>
      <c r="I103" s="29" t="s">
        <v>131</v>
      </c>
      <c r="J103" s="28" t="s">
        <v>131</v>
      </c>
      <c r="K103" s="20">
        <v>0</v>
      </c>
      <c r="L103" s="20">
        <f t="shared" si="110"/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f t="shared" si="128"/>
        <v>0</v>
      </c>
      <c r="S103" s="20">
        <f t="shared" si="129"/>
        <v>0</v>
      </c>
      <c r="T103" s="20">
        <f t="shared" si="130"/>
        <v>0</v>
      </c>
      <c r="U103" s="20">
        <f t="shared" si="131"/>
        <v>0</v>
      </c>
      <c r="V103" s="20">
        <v>0</v>
      </c>
      <c r="W103" s="20">
        <f t="shared" si="111"/>
        <v>0</v>
      </c>
      <c r="X103" s="20"/>
      <c r="Y103" s="20">
        <f t="shared" si="132"/>
        <v>0</v>
      </c>
      <c r="Z103" s="28"/>
      <c r="AA103" s="20">
        <f t="shared" si="133"/>
        <v>0</v>
      </c>
      <c r="AB103" s="28"/>
      <c r="AC103" s="20"/>
      <c r="AD103" s="28"/>
      <c r="AE103" s="28"/>
      <c r="AF103" s="28"/>
      <c r="AG103" s="28"/>
      <c r="AH103" s="28"/>
      <c r="AI103" s="28"/>
      <c r="AJ103" s="28"/>
      <c r="AK103" s="20"/>
      <c r="AL103" s="28"/>
      <c r="AM103" s="28"/>
      <c r="AN103" s="28">
        <f t="shared" si="112"/>
        <v>0</v>
      </c>
      <c r="AO103" s="28">
        <f t="shared" si="113"/>
        <v>0</v>
      </c>
      <c r="AP103" s="94" t="s">
        <v>499</v>
      </c>
      <c r="AQ103" s="86"/>
      <c r="AR103" s="85">
        <f t="shared" si="163"/>
        <v>0</v>
      </c>
      <c r="AS103" s="85">
        <f t="shared" si="164"/>
        <v>0</v>
      </c>
      <c r="AT103" s="113">
        <f t="shared" si="166"/>
        <v>0</v>
      </c>
      <c r="AV103" s="105">
        <f t="shared" si="165"/>
        <v>0</v>
      </c>
      <c r="AX103" s="31"/>
      <c r="AY103" s="15"/>
      <c r="AZ103" s="118"/>
      <c r="BA103" s="118"/>
      <c r="BB103" s="118"/>
      <c r="BC103" s="118"/>
      <c r="BD103" s="8"/>
      <c r="BE103" s="118">
        <f t="shared" si="157"/>
        <v>0</v>
      </c>
      <c r="BF103" s="118">
        <f t="shared" si="158"/>
        <v>0</v>
      </c>
      <c r="BG103" s="118">
        <f t="shared" si="159"/>
        <v>0</v>
      </c>
      <c r="BH103" s="118">
        <f t="shared" si="160"/>
        <v>0</v>
      </c>
      <c r="BI103" s="122">
        <f t="shared" si="161"/>
        <v>0</v>
      </c>
      <c r="BJ103" s="118">
        <f t="shared" si="114"/>
        <v>0</v>
      </c>
      <c r="BK103" s="108" t="s">
        <v>131</v>
      </c>
      <c r="BL103" s="8" t="b">
        <f t="shared" si="115"/>
        <v>1</v>
      </c>
      <c r="BM103" s="128">
        <f t="shared" si="145"/>
        <v>0</v>
      </c>
      <c r="BN103" s="129">
        <f t="shared" si="127"/>
        <v>0</v>
      </c>
      <c r="BR103" s="73">
        <f t="shared" si="146"/>
        <v>0</v>
      </c>
      <c r="BS103" s="73">
        <f t="shared" si="147"/>
        <v>0</v>
      </c>
      <c r="BT103" s="73">
        <f t="shared" si="148"/>
        <v>0</v>
      </c>
      <c r="BU103" s="73">
        <f t="shared" si="149"/>
        <v>0</v>
      </c>
      <c r="BV103" s="73">
        <f t="shared" si="150"/>
        <v>0</v>
      </c>
      <c r="BW103" s="73">
        <f t="shared" si="151"/>
        <v>0</v>
      </c>
      <c r="BX103" s="73">
        <f t="shared" si="152"/>
        <v>0</v>
      </c>
      <c r="BY103" s="73">
        <f t="shared" si="153"/>
        <v>0</v>
      </c>
      <c r="BZ103" s="74">
        <f t="shared" si="124"/>
        <v>0</v>
      </c>
      <c r="CB103" s="75">
        <f t="shared" si="154"/>
        <v>0</v>
      </c>
      <c r="CE103" s="8"/>
      <c r="CJ103" s="70">
        <f t="shared" si="162"/>
        <v>0</v>
      </c>
      <c r="CL103" s="163"/>
      <c r="CM103" s="68"/>
      <c r="CN103" s="28"/>
      <c r="CQ103" s="177">
        <f t="shared" si="155"/>
        <v>0</v>
      </c>
      <c r="CR103" s="177">
        <f t="shared" si="156"/>
        <v>0</v>
      </c>
    </row>
    <row r="104" spans="1:96" ht="51.75" customHeight="1" x14ac:dyDescent="0.3">
      <c r="A104" s="44" t="s">
        <v>525</v>
      </c>
      <c r="B104" s="51" t="s">
        <v>71</v>
      </c>
      <c r="C104" s="71" t="s">
        <v>198</v>
      </c>
      <c r="D104" s="20" t="s">
        <v>359</v>
      </c>
      <c r="E104" s="27" t="s">
        <v>483</v>
      </c>
      <c r="F104" s="21" t="str">
        <f t="shared" si="107"/>
        <v>нд</v>
      </c>
      <c r="G104" s="46" t="str">
        <f t="shared" si="108"/>
        <v>Ошибка в +</v>
      </c>
      <c r="H104" s="46" t="str">
        <f t="shared" si="109"/>
        <v>нд</v>
      </c>
      <c r="I104" s="22" t="s">
        <v>131</v>
      </c>
      <c r="J104" s="20" t="s">
        <v>131</v>
      </c>
      <c r="K104" s="20">
        <v>0</v>
      </c>
      <c r="L104" s="20">
        <f t="shared" si="110"/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f t="shared" si="128"/>
        <v>0</v>
      </c>
      <c r="S104" s="20">
        <f t="shared" si="129"/>
        <v>0</v>
      </c>
      <c r="T104" s="20">
        <f t="shared" si="130"/>
        <v>0</v>
      </c>
      <c r="U104" s="20">
        <f t="shared" si="131"/>
        <v>0</v>
      </c>
      <c r="V104" s="20">
        <v>0</v>
      </c>
      <c r="W104" s="20">
        <f t="shared" si="111"/>
        <v>0</v>
      </c>
      <c r="X104" s="20"/>
      <c r="Y104" s="20">
        <f t="shared" si="132"/>
        <v>-64.8</v>
      </c>
      <c r="Z104" s="28"/>
      <c r="AA104" s="20">
        <f t="shared" si="133"/>
        <v>0</v>
      </c>
      <c r="AB104" s="20"/>
      <c r="AC104" s="20"/>
      <c r="AD104" s="174">
        <v>64.8</v>
      </c>
      <c r="AE104" s="20"/>
      <c r="AF104" s="20"/>
      <c r="AG104" s="20"/>
      <c r="AH104" s="20"/>
      <c r="AI104" s="20"/>
      <c r="AJ104" s="20"/>
      <c r="AK104" s="20"/>
      <c r="AL104" s="20"/>
      <c r="AM104" s="20"/>
      <c r="AN104" s="20">
        <f t="shared" si="112"/>
        <v>64.8</v>
      </c>
      <c r="AO104" s="20">
        <f t="shared" si="113"/>
        <v>0</v>
      </c>
      <c r="AP104" s="94" t="s">
        <v>499</v>
      </c>
      <c r="AQ104" s="86"/>
      <c r="AR104" s="85">
        <f t="shared" si="163"/>
        <v>-64.8</v>
      </c>
      <c r="AS104" s="85">
        <f t="shared" si="164"/>
        <v>0</v>
      </c>
      <c r="AT104" s="113">
        <f t="shared" si="166"/>
        <v>0</v>
      </c>
      <c r="AV104" s="105">
        <f t="shared" si="165"/>
        <v>0</v>
      </c>
      <c r="AX104" s="31"/>
      <c r="AY104" s="15"/>
      <c r="AZ104" s="118"/>
      <c r="BA104" s="118"/>
      <c r="BB104" s="118"/>
      <c r="BC104" s="118"/>
      <c r="BD104" s="8"/>
      <c r="BE104" s="118">
        <f t="shared" si="157"/>
        <v>0</v>
      </c>
      <c r="BF104" s="118">
        <f t="shared" si="158"/>
        <v>0</v>
      </c>
      <c r="BG104" s="118">
        <f t="shared" si="159"/>
        <v>0</v>
      </c>
      <c r="BH104" s="118">
        <f t="shared" si="160"/>
        <v>0</v>
      </c>
      <c r="BI104" s="122">
        <f t="shared" si="161"/>
        <v>0</v>
      </c>
      <c r="BJ104" s="118">
        <f t="shared" si="114"/>
        <v>0</v>
      </c>
      <c r="BK104" s="108" t="s">
        <v>131</v>
      </c>
      <c r="BL104" s="8" t="b">
        <f t="shared" si="115"/>
        <v>1</v>
      </c>
      <c r="BM104" s="128">
        <f t="shared" si="145"/>
        <v>0</v>
      </c>
      <c r="BN104" s="129">
        <f t="shared" si="127"/>
        <v>0</v>
      </c>
      <c r="BR104" s="73">
        <f t="shared" si="146"/>
        <v>0</v>
      </c>
      <c r="BS104" s="73">
        <f t="shared" si="147"/>
        <v>0</v>
      </c>
      <c r="BT104" s="73">
        <f t="shared" si="148"/>
        <v>0</v>
      </c>
      <c r="BU104" s="73">
        <f t="shared" si="149"/>
        <v>0</v>
      </c>
      <c r="BV104" s="73">
        <f t="shared" si="150"/>
        <v>0</v>
      </c>
      <c r="BW104" s="73">
        <f t="shared" si="151"/>
        <v>0</v>
      </c>
      <c r="BX104" s="73">
        <f t="shared" si="152"/>
        <v>0</v>
      </c>
      <c r="BY104" s="73">
        <f t="shared" si="153"/>
        <v>0</v>
      </c>
      <c r="BZ104" s="74">
        <f t="shared" si="124"/>
        <v>0</v>
      </c>
      <c r="CB104" s="75">
        <f t="shared" si="154"/>
        <v>0</v>
      </c>
      <c r="CE104" s="8"/>
      <c r="CJ104" s="70">
        <f t="shared" si="162"/>
        <v>0</v>
      </c>
      <c r="CL104" s="163"/>
      <c r="CM104" s="68"/>
      <c r="CN104" s="20">
        <v>64.8</v>
      </c>
      <c r="CQ104" s="177">
        <f t="shared" si="155"/>
        <v>0</v>
      </c>
      <c r="CR104" s="177">
        <f t="shared" si="156"/>
        <v>-64.8</v>
      </c>
    </row>
    <row r="105" spans="1:96" ht="37.5" x14ac:dyDescent="0.3">
      <c r="B105" s="54" t="s">
        <v>73</v>
      </c>
      <c r="C105" s="55" t="s">
        <v>74</v>
      </c>
      <c r="D105" s="35" t="s">
        <v>129</v>
      </c>
      <c r="E105" s="35"/>
      <c r="F105" s="35"/>
      <c r="G105" s="36"/>
      <c r="H105" s="36"/>
      <c r="I105" s="37" t="s">
        <v>131</v>
      </c>
      <c r="J105" s="35">
        <f t="shared" ref="J105:Z105" si="167">J106+J116</f>
        <v>1706.5284000000001</v>
      </c>
      <c r="K105" s="35">
        <f t="shared" si="167"/>
        <v>0</v>
      </c>
      <c r="L105" s="35">
        <f t="shared" si="167"/>
        <v>15772.207299999996</v>
      </c>
      <c r="M105" s="35">
        <f t="shared" si="167"/>
        <v>1104.058407</v>
      </c>
      <c r="N105" s="35">
        <f t="shared" si="167"/>
        <v>13008.776285999998</v>
      </c>
      <c r="O105" s="35">
        <f t="shared" si="167"/>
        <v>416.53299999999996</v>
      </c>
      <c r="P105" s="35">
        <f t="shared" si="167"/>
        <v>1242.8396070000001</v>
      </c>
      <c r="Q105" s="35">
        <f t="shared" si="167"/>
        <v>16656.54506012017</v>
      </c>
      <c r="R105" s="35">
        <f t="shared" si="167"/>
        <v>1165.9609811775576</v>
      </c>
      <c r="S105" s="35">
        <f t="shared" si="167"/>
        <v>13757.93180304465</v>
      </c>
      <c r="T105" s="35">
        <f t="shared" si="167"/>
        <v>425.05582260891561</v>
      </c>
      <c r="U105" s="35">
        <f t="shared" si="167"/>
        <v>1307.5964532890455</v>
      </c>
      <c r="V105" s="35">
        <f t="shared" si="167"/>
        <v>0</v>
      </c>
      <c r="W105" s="35">
        <f t="shared" si="167"/>
        <v>15772.207299999998</v>
      </c>
      <c r="X105" s="35">
        <f t="shared" si="167"/>
        <v>0</v>
      </c>
      <c r="Y105" s="35">
        <f t="shared" si="167"/>
        <v>8563.9244999999992</v>
      </c>
      <c r="Z105" s="35">
        <f t="shared" si="167"/>
        <v>0</v>
      </c>
      <c r="AA105" s="35">
        <f t="shared" si="98"/>
        <v>13262.869260120171</v>
      </c>
      <c r="AB105" s="35">
        <f t="shared" ref="AB105:AO105" si="168">AB106+AB116</f>
        <v>22.172799999999999</v>
      </c>
      <c r="AC105" s="35">
        <f t="shared" si="168"/>
        <v>22.172799999999999</v>
      </c>
      <c r="AD105" s="35">
        <f t="shared" si="168"/>
        <v>3812.2599999999998</v>
      </c>
      <c r="AE105" s="35">
        <f t="shared" si="168"/>
        <v>3371.5029999999997</v>
      </c>
      <c r="AF105" s="35">
        <f t="shared" si="168"/>
        <v>3373.8500000000004</v>
      </c>
      <c r="AG105" s="35">
        <f t="shared" si="168"/>
        <v>4008.2861199999998</v>
      </c>
      <c r="AH105" s="35">
        <f t="shared" si="168"/>
        <v>3075.9599999999996</v>
      </c>
      <c r="AI105" s="35">
        <f t="shared" si="168"/>
        <v>2942.5755799999997</v>
      </c>
      <c r="AJ105" s="35">
        <f t="shared" si="168"/>
        <v>3003.951</v>
      </c>
      <c r="AK105" s="35">
        <f t="shared" si="168"/>
        <v>2664.9283880664825</v>
      </c>
      <c r="AL105" s="35">
        <f t="shared" si="168"/>
        <v>2802.3250000000003</v>
      </c>
      <c r="AM105" s="35">
        <f t="shared" si="168"/>
        <v>3058.2454720536871</v>
      </c>
      <c r="AN105" s="35">
        <f t="shared" si="168"/>
        <v>16068.346</v>
      </c>
      <c r="AO105" s="35">
        <f t="shared" si="168"/>
        <v>16045.538560120171</v>
      </c>
      <c r="AP105" s="98" t="s">
        <v>131</v>
      </c>
      <c r="AQ105" s="86"/>
      <c r="AR105" s="85">
        <f t="shared" si="163"/>
        <v>-318.31150000000525</v>
      </c>
      <c r="AS105" s="85">
        <f t="shared" si="164"/>
        <v>588.83370000000286</v>
      </c>
      <c r="AT105" s="113"/>
      <c r="AV105" s="105">
        <f t="shared" si="165"/>
        <v>588.83369999999923</v>
      </c>
      <c r="AX105" s="31"/>
      <c r="AY105" s="15"/>
      <c r="AZ105" s="118">
        <v>4008.2861199999998</v>
      </c>
      <c r="BA105" s="118">
        <v>2366.9366</v>
      </c>
      <c r="BB105" s="118">
        <v>3204.64</v>
      </c>
      <c r="BC105" s="118">
        <v>3201.4768599999998</v>
      </c>
      <c r="BD105" s="8"/>
      <c r="BE105" s="118">
        <f t="shared" si="157"/>
        <v>0</v>
      </c>
      <c r="BF105" s="118">
        <f t="shared" si="158"/>
        <v>575.63897999999972</v>
      </c>
      <c r="BG105" s="118">
        <f t="shared" si="159"/>
        <v>-539.71161193351736</v>
      </c>
      <c r="BH105" s="118">
        <f t="shared" si="160"/>
        <v>-143.23138794631268</v>
      </c>
      <c r="BI105" s="122">
        <f t="shared" si="161"/>
        <v>-107.30401987983032</v>
      </c>
      <c r="BJ105" s="123"/>
      <c r="BK105" s="108"/>
      <c r="BM105" s="128">
        <f t="shared" si="145"/>
        <v>16067.711360120167</v>
      </c>
      <c r="BN105" s="129">
        <f t="shared" si="127"/>
        <v>-588.83370000000286</v>
      </c>
      <c r="CB105" s="75">
        <f t="shared" si="154"/>
        <v>16809.696077930737</v>
      </c>
      <c r="CJ105" s="70">
        <f t="shared" si="162"/>
        <v>0</v>
      </c>
      <c r="CL105" s="163"/>
      <c r="CM105" s="68"/>
      <c r="CN105" s="35">
        <f t="shared" ref="CN105" si="169">CN106+CN116</f>
        <v>3812.3469999999998</v>
      </c>
      <c r="CQ105" s="177">
        <f t="shared" si="155"/>
        <v>16262.025119999998</v>
      </c>
      <c r="CR105" s="177">
        <f t="shared" si="156"/>
        <v>193.67911999999887</v>
      </c>
    </row>
    <row r="106" spans="1:96" ht="20.25" x14ac:dyDescent="0.3">
      <c r="B106" s="56" t="s">
        <v>75</v>
      </c>
      <c r="C106" s="57" t="s">
        <v>76</v>
      </c>
      <c r="D106" s="32" t="s">
        <v>129</v>
      </c>
      <c r="E106" s="32"/>
      <c r="F106" s="32"/>
      <c r="G106" s="33"/>
      <c r="H106" s="33"/>
      <c r="I106" s="34" t="s">
        <v>131</v>
      </c>
      <c r="J106" s="32">
        <f t="shared" ref="J106:Z106" si="170">SUM(J107:J115)</f>
        <v>0</v>
      </c>
      <c r="K106" s="32">
        <f t="shared" si="170"/>
        <v>0</v>
      </c>
      <c r="L106" s="32">
        <f>SUM(L107:L115)</f>
        <v>13884.401099999997</v>
      </c>
      <c r="M106" s="32">
        <f t="shared" si="170"/>
        <v>971.91099999999994</v>
      </c>
      <c r="N106" s="32">
        <f t="shared" si="170"/>
        <v>11385.250999999998</v>
      </c>
      <c r="O106" s="32">
        <f t="shared" si="170"/>
        <v>416.53299999999996</v>
      </c>
      <c r="P106" s="32">
        <f t="shared" si="170"/>
        <v>1110.7061000000001</v>
      </c>
      <c r="Q106" s="32">
        <f t="shared" si="170"/>
        <v>14168.500160120171</v>
      </c>
      <c r="R106" s="32">
        <f t="shared" si="170"/>
        <v>991.79783817755754</v>
      </c>
      <c r="S106" s="32">
        <f t="shared" si="170"/>
        <v>11618.213189044651</v>
      </c>
      <c r="T106" s="32">
        <f t="shared" si="170"/>
        <v>425.05582260891561</v>
      </c>
      <c r="U106" s="32">
        <f t="shared" si="170"/>
        <v>1133.4333102890455</v>
      </c>
      <c r="V106" s="32">
        <f t="shared" si="170"/>
        <v>0</v>
      </c>
      <c r="W106" s="32">
        <f t="shared" si="170"/>
        <v>13884.401099999997</v>
      </c>
      <c r="X106" s="32">
        <f t="shared" si="170"/>
        <v>0</v>
      </c>
      <c r="Y106" s="32">
        <f t="shared" si="170"/>
        <v>8341.7410999999993</v>
      </c>
      <c r="Z106" s="32">
        <f t="shared" si="170"/>
        <v>0</v>
      </c>
      <c r="AA106" s="32">
        <f t="shared" si="98"/>
        <v>10952.384860120172</v>
      </c>
      <c r="AB106" s="32">
        <f t="shared" ref="AB106:AO106" si="171">SUM(AB107:AB115)</f>
        <v>0</v>
      </c>
      <c r="AC106" s="32">
        <f t="shared" si="171"/>
        <v>0</v>
      </c>
      <c r="AD106" s="32">
        <f t="shared" si="171"/>
        <v>2617.56</v>
      </c>
      <c r="AE106" s="32">
        <f t="shared" si="171"/>
        <v>3216.1152999999999</v>
      </c>
      <c r="AF106" s="32">
        <f t="shared" si="171"/>
        <v>2925.1000000000004</v>
      </c>
      <c r="AG106" s="32">
        <f t="shared" si="171"/>
        <v>3091.10752</v>
      </c>
      <c r="AH106" s="32">
        <f t="shared" si="171"/>
        <v>2577.8099999999995</v>
      </c>
      <c r="AI106" s="32">
        <f t="shared" si="171"/>
        <v>2368.86348</v>
      </c>
      <c r="AJ106" s="32">
        <f t="shared" si="171"/>
        <v>2509.451</v>
      </c>
      <c r="AK106" s="32">
        <f t="shared" si="171"/>
        <v>2664.7283880664827</v>
      </c>
      <c r="AL106" s="32">
        <f t="shared" si="171"/>
        <v>2655.9250000000002</v>
      </c>
      <c r="AM106" s="32">
        <f t="shared" si="171"/>
        <v>2827.6854720536871</v>
      </c>
      <c r="AN106" s="32">
        <f t="shared" si="171"/>
        <v>13285.846</v>
      </c>
      <c r="AO106" s="32">
        <f t="shared" si="171"/>
        <v>14168.500160120171</v>
      </c>
      <c r="AP106" s="99" t="s">
        <v>131</v>
      </c>
      <c r="AQ106" s="86"/>
      <c r="AR106" s="85">
        <f t="shared" si="163"/>
        <v>598.55509999999958</v>
      </c>
      <c r="AS106" s="85">
        <f t="shared" si="164"/>
        <v>0</v>
      </c>
      <c r="AT106" s="113"/>
      <c r="AV106" s="105">
        <f t="shared" si="165"/>
        <v>0</v>
      </c>
      <c r="AX106" s="31"/>
      <c r="AY106" s="15"/>
      <c r="AZ106" s="118">
        <v>3091.10752</v>
      </c>
      <c r="BA106" s="118">
        <v>2259.8049999999998</v>
      </c>
      <c r="BB106" s="118">
        <v>3202.64</v>
      </c>
      <c r="BC106" s="118">
        <v>2975.3599999999997</v>
      </c>
      <c r="BD106" s="8"/>
      <c r="BE106" s="118">
        <f t="shared" si="157"/>
        <v>0</v>
      </c>
      <c r="BF106" s="118">
        <f t="shared" si="158"/>
        <v>109.05848000000015</v>
      </c>
      <c r="BG106" s="118">
        <f t="shared" si="159"/>
        <v>-537.91161193351718</v>
      </c>
      <c r="BH106" s="118">
        <f t="shared" si="160"/>
        <v>-147.67452794631254</v>
      </c>
      <c r="BI106" s="122">
        <f t="shared" si="161"/>
        <v>-576.52765987982957</v>
      </c>
      <c r="BJ106" s="123"/>
      <c r="BK106" s="108"/>
      <c r="BM106" s="128">
        <f t="shared" si="145"/>
        <v>14168.500160120169</v>
      </c>
      <c r="BN106" s="129">
        <f t="shared" si="127"/>
        <v>0</v>
      </c>
      <c r="CB106" s="75">
        <f t="shared" si="154"/>
        <v>14338.662552929674</v>
      </c>
      <c r="CJ106" s="70">
        <f t="shared" si="162"/>
        <v>1.8189894035458565E-12</v>
      </c>
      <c r="CL106" s="163"/>
      <c r="CM106" s="68"/>
      <c r="CN106" s="32">
        <f t="shared" ref="CN106" si="172">SUM(CN107:CN115)</f>
        <v>2617.6469999999999</v>
      </c>
      <c r="CQ106" s="177">
        <f t="shared" si="155"/>
        <v>14050.408820000001</v>
      </c>
      <c r="CR106" s="177">
        <f t="shared" si="156"/>
        <v>764.56282000000101</v>
      </c>
    </row>
    <row r="107" spans="1:96" s="8" customFormat="1" ht="37.5" x14ac:dyDescent="0.3">
      <c r="A107" s="44"/>
      <c r="B107" s="51" t="s">
        <v>75</v>
      </c>
      <c r="C107" s="76" t="s">
        <v>444</v>
      </c>
      <c r="D107" s="20" t="s">
        <v>241</v>
      </c>
      <c r="E107" s="21" t="s">
        <v>488</v>
      </c>
      <c r="F107" s="21">
        <f t="shared" ref="F107:F115" si="173">IF(K107&gt;0,2018,IF(AC107&gt;0,2019,IF(AE107&gt;0,2020,IF(AG107&gt;0,2021,IF(AI107&gt;0,2022,IF(AK107&gt;0,2023,IF(AM107&gt;0,2024,"нд")))))))</f>
        <v>2020</v>
      </c>
      <c r="G107" s="46" t="str">
        <f t="shared" ref="G107:G115" si="174">IF(AND(L107-(K107+AB107+AD107+AF107+AH107+AJ107+AL107)&lt;0.1,L107-(K107+AB107+AD107+AF107+AH107+AJ107+AL107)&gt;0.00001),"Ошибка в -",IF((K107+AB107+AD107+AF107+AH107+AJ107+AL107)&gt;L107,"Ошибка в +",IF(L107&gt;(K107+AB107+AD107+AF107+AH107+AJ107+AL107),2025,IF(AL107&gt;0,2024,IF(AJ107&gt;0,2023,IF(AH107&gt;0,2022,IF(AF107&gt;0,2021,IF(AD107&gt;0,2020,IF(AB107&gt;0,2019,IF(K107&gt;0,2018,"нд"))))))))))</f>
        <v>Ошибка в +</v>
      </c>
      <c r="H107" s="46">
        <f t="shared" ref="H107:H115" si="175">IF(AND((Q107-(K107+AC107+AE107+AG107+AI107+AK107+AM107))&lt;0.1,Q107-(K107+AC107+AE107+AG107+AI107+AK107+AM107)&gt;0.0001),"Ошибка в -",IF((K107+AC107+AE107+AG107+AI107+AK107+AM107)&gt;Q107,"Ошибка в +",IF(Q107&gt;(K107+AC107+AE107+AG107+AI107+AK107+AM107),2025,IF(AM107&gt;0,2024,IF(AK107&gt;0,2023,IF(AI107&gt;0,2022,IF(AG107&gt;0,2021,IF(AE107&gt;0,2020,IF(AC107&gt;0,2019,IF(K107&gt;0,2018,"нд"))))))))))</f>
        <v>2024</v>
      </c>
      <c r="I107" s="22" t="s">
        <v>131</v>
      </c>
      <c r="J107" s="20" t="s">
        <v>131</v>
      </c>
      <c r="K107" s="20">
        <v>0</v>
      </c>
      <c r="L107" s="20">
        <f t="shared" ref="L107:L170" si="176">M107+N107+O107+P107</f>
        <v>561.88900000000001</v>
      </c>
      <c r="M107" s="20">
        <v>39.332000000000001</v>
      </c>
      <c r="N107" s="20">
        <v>460.74900000000002</v>
      </c>
      <c r="O107" s="20">
        <v>16.856999999999999</v>
      </c>
      <c r="P107" s="20">
        <v>44.951000000000001</v>
      </c>
      <c r="Q107" s="20">
        <v>643.95268543889665</v>
      </c>
      <c r="R107" s="20">
        <f t="shared" ref="R107:R115" si="177">M107/L107*Q107</f>
        <v>45.076424389305863</v>
      </c>
      <c r="S107" s="20">
        <f t="shared" ref="S107:S115" si="178">N107/L107*Q107</f>
        <v>528.04122498088805</v>
      </c>
      <c r="T107" s="20">
        <f t="shared" ref="T107:T115" si="179">O107/L107*Q107</f>
        <v>19.31895875954767</v>
      </c>
      <c r="U107" s="20">
        <f t="shared" ref="U107:U115" si="180">P107/L107*Q107</f>
        <v>51.516077309155087</v>
      </c>
      <c r="V107" s="20">
        <v>0</v>
      </c>
      <c r="W107" s="20">
        <f t="shared" ref="W107:W115" si="181">L107-K107</f>
        <v>561.88900000000001</v>
      </c>
      <c r="X107" s="20"/>
      <c r="Y107" s="20">
        <f t="shared" ref="Y107:Y115" si="182">W107-(AB107+AD107+AF107)</f>
        <v>237.57900000000001</v>
      </c>
      <c r="Z107" s="28"/>
      <c r="AA107" s="20">
        <f t="shared" ref="AA107:AA115" si="183">Q107-(K107+AC107+AE107+AG107)</f>
        <v>288.93248543889666</v>
      </c>
      <c r="AB107" s="20">
        <v>0</v>
      </c>
      <c r="AC107" s="20">
        <v>0</v>
      </c>
      <c r="AD107" s="174">
        <v>141.69999999999999</v>
      </c>
      <c r="AE107" s="20">
        <v>136.65840000000003</v>
      </c>
      <c r="AF107" s="20">
        <v>182.61</v>
      </c>
      <c r="AG107" s="20">
        <v>218.36179999999996</v>
      </c>
      <c r="AH107" s="20">
        <v>88.768000000000001</v>
      </c>
      <c r="AI107" s="20">
        <v>68.459999999999994</v>
      </c>
      <c r="AJ107" s="20">
        <v>54.354999999999997</v>
      </c>
      <c r="AK107" s="20">
        <v>115.86846613316651</v>
      </c>
      <c r="AL107" s="20">
        <v>99.498000000000005</v>
      </c>
      <c r="AM107" s="20">
        <v>104.60401930573011</v>
      </c>
      <c r="AN107" s="20">
        <f t="shared" ref="AN107:AO140" si="184">SUM(AD107+AF107+AH107+AJ107+AL107)</f>
        <v>566.93100000000004</v>
      </c>
      <c r="AO107" s="20">
        <f t="shared" ref="AO107:AO140" si="185">SUM(AE107+AG107+AI107+AK107+AM107)</f>
        <v>643.95268543889665</v>
      </c>
      <c r="AP107" s="94" t="s">
        <v>501</v>
      </c>
      <c r="AQ107" s="86"/>
      <c r="AR107" s="114">
        <f t="shared" si="163"/>
        <v>-5.04200000000003</v>
      </c>
      <c r="AS107" s="85">
        <f t="shared" si="164"/>
        <v>0</v>
      </c>
      <c r="AT107" s="113">
        <f t="shared" si="166"/>
        <v>82.063685438896641</v>
      </c>
      <c r="AV107" s="105">
        <f t="shared" si="165"/>
        <v>0</v>
      </c>
      <c r="AX107" s="31">
        <v>634.66780403148289</v>
      </c>
      <c r="AY107" s="15"/>
      <c r="AZ107" s="118">
        <v>218.36179999999996</v>
      </c>
      <c r="BA107" s="118">
        <v>65.099999999999994</v>
      </c>
      <c r="BB107" s="118">
        <v>65.17</v>
      </c>
      <c r="BC107" s="118">
        <v>131.36000000000001</v>
      </c>
      <c r="BE107" s="118">
        <f t="shared" si="157"/>
        <v>0</v>
      </c>
      <c r="BF107" s="118">
        <f t="shared" si="158"/>
        <v>3.3599999999999994</v>
      </c>
      <c r="BG107" s="118">
        <f t="shared" si="159"/>
        <v>50.698466133166505</v>
      </c>
      <c r="BH107" s="118">
        <f t="shared" si="160"/>
        <v>-26.755980694269908</v>
      </c>
      <c r="BI107" s="122">
        <f t="shared" si="161"/>
        <v>27.302485438896596</v>
      </c>
      <c r="BJ107" s="118">
        <f t="shared" ref="BJ107:BJ115" si="186">(AO107+AC107+K107)-Q107</f>
        <v>0</v>
      </c>
      <c r="BK107" s="44">
        <v>2024</v>
      </c>
      <c r="BL107" s="8" t="b">
        <f t="shared" ref="BL107:BL115" si="187">EXACT(BK107,H107)</f>
        <v>1</v>
      </c>
      <c r="BM107" s="128">
        <f t="shared" si="145"/>
        <v>643.95268543889665</v>
      </c>
      <c r="BN107" s="129">
        <f t="shared" si="127"/>
        <v>0</v>
      </c>
      <c r="BR107" s="73">
        <f t="shared" ref="BR107:BR115" si="188">K107/$BR$15</f>
        <v>0</v>
      </c>
      <c r="BS107" s="73">
        <f t="shared" ref="BS107:BS115" si="189">AC107/$BS$15</f>
        <v>0</v>
      </c>
      <c r="BT107" s="73">
        <f t="shared" ref="BT107:BT115" si="190">AE107/$BT$15</f>
        <v>124.71822888982018</v>
      </c>
      <c r="BU107" s="73">
        <f t="shared" ref="BU107:BU115" si="191">AG107/$BU$15</f>
        <v>191.18129541676876</v>
      </c>
      <c r="BV107" s="73">
        <f t="shared" ref="BV107:BV115" si="192">AI107/$BV$15</f>
        <v>57.456321931886038</v>
      </c>
      <c r="BW107" s="73">
        <f t="shared" ref="BW107:BW115" si="193">AK107/$BW$15</f>
        <v>93.155157206103482</v>
      </c>
      <c r="BX107" s="73">
        <f t="shared" ref="BX107:BX115" si="194">AM107/$BX$15</f>
        <v>80.531255646479266</v>
      </c>
      <c r="BY107" s="73">
        <f t="shared" ref="BY107:BY115" si="195">(Q107-K107-AC107-AE107-AG107-AI107-AK107-AM107)/$BY$15</f>
        <v>5.2381840704201265E-14</v>
      </c>
      <c r="BZ107" s="74">
        <f t="shared" ref="BZ107:BZ115" si="196">SUM(BR107:BY107)*1.2</f>
        <v>656.45071090926933</v>
      </c>
      <c r="CB107" s="75">
        <f t="shared" si="154"/>
        <v>656.45071090926933</v>
      </c>
      <c r="CJ107" s="70">
        <f t="shared" si="162"/>
        <v>0</v>
      </c>
      <c r="CK107" s="166"/>
      <c r="CL107" s="163"/>
      <c r="CM107" s="68"/>
      <c r="CN107" s="20">
        <v>141.72999999999999</v>
      </c>
      <c r="CQ107" s="177">
        <f t="shared" si="155"/>
        <v>597.64120000000003</v>
      </c>
      <c r="CR107" s="177">
        <f t="shared" si="156"/>
        <v>30.710199999999986</v>
      </c>
    </row>
    <row r="108" spans="1:96" s="8" customFormat="1" ht="37.5" x14ac:dyDescent="0.3">
      <c r="A108" s="44"/>
      <c r="B108" s="51" t="s">
        <v>75</v>
      </c>
      <c r="C108" s="76" t="s">
        <v>445</v>
      </c>
      <c r="D108" s="20" t="s">
        <v>242</v>
      </c>
      <c r="E108" s="21" t="s">
        <v>488</v>
      </c>
      <c r="F108" s="21">
        <f t="shared" si="173"/>
        <v>2020</v>
      </c>
      <c r="G108" s="46" t="str">
        <f t="shared" si="174"/>
        <v>Ошибка в +</v>
      </c>
      <c r="H108" s="46">
        <f t="shared" si="175"/>
        <v>2024</v>
      </c>
      <c r="I108" s="22" t="s">
        <v>131</v>
      </c>
      <c r="J108" s="20" t="s">
        <v>131</v>
      </c>
      <c r="K108" s="20">
        <v>0</v>
      </c>
      <c r="L108" s="20">
        <f t="shared" si="176"/>
        <v>456.08600000000001</v>
      </c>
      <c r="M108" s="20">
        <v>31.925999999999998</v>
      </c>
      <c r="N108" s="20">
        <v>373.99099999999999</v>
      </c>
      <c r="O108" s="20">
        <v>13.682</v>
      </c>
      <c r="P108" s="20">
        <v>36.487000000000002</v>
      </c>
      <c r="Q108" s="20">
        <v>517.68864609436173</v>
      </c>
      <c r="R108" s="20">
        <f t="shared" si="177"/>
        <v>36.238182525244341</v>
      </c>
      <c r="S108" s="20">
        <f t="shared" si="178"/>
        <v>424.50523463004004</v>
      </c>
      <c r="T108" s="20">
        <f t="shared" si="179"/>
        <v>15.530001043362562</v>
      </c>
      <c r="U108" s="20">
        <f t="shared" si="180"/>
        <v>41.415227895714793</v>
      </c>
      <c r="V108" s="20">
        <v>0</v>
      </c>
      <c r="W108" s="20">
        <f t="shared" si="181"/>
        <v>456.08600000000001</v>
      </c>
      <c r="X108" s="20"/>
      <c r="Y108" s="20">
        <f t="shared" si="182"/>
        <v>228.54599999999999</v>
      </c>
      <c r="Z108" s="28"/>
      <c r="AA108" s="20">
        <f t="shared" si="183"/>
        <v>295.81724609436174</v>
      </c>
      <c r="AB108" s="20">
        <v>0</v>
      </c>
      <c r="AC108" s="20">
        <v>0</v>
      </c>
      <c r="AD108" s="174">
        <v>105.9</v>
      </c>
      <c r="AE108" s="20">
        <v>103.3446</v>
      </c>
      <c r="AF108" s="20">
        <v>121.64</v>
      </c>
      <c r="AG108" s="20">
        <v>118.52680000000001</v>
      </c>
      <c r="AH108" s="20">
        <v>94.605999999999995</v>
      </c>
      <c r="AI108" s="20">
        <v>100.43</v>
      </c>
      <c r="AJ108" s="20">
        <v>62.067</v>
      </c>
      <c r="AK108" s="20">
        <v>112.1075162481695</v>
      </c>
      <c r="AL108" s="20">
        <v>74.427999999999997</v>
      </c>
      <c r="AM108" s="20">
        <v>83.279729846192311</v>
      </c>
      <c r="AN108" s="20">
        <f t="shared" si="184"/>
        <v>458.64100000000002</v>
      </c>
      <c r="AO108" s="20">
        <f t="shared" si="185"/>
        <v>517.68864609436173</v>
      </c>
      <c r="AP108" s="94" t="s">
        <v>501</v>
      </c>
      <c r="AQ108" s="86"/>
      <c r="AR108" s="114">
        <f t="shared" si="163"/>
        <v>-2.5550000000000068</v>
      </c>
      <c r="AS108" s="85">
        <f t="shared" si="164"/>
        <v>0</v>
      </c>
      <c r="AT108" s="113">
        <f t="shared" si="166"/>
        <v>61.602646094361717</v>
      </c>
      <c r="AV108" s="105">
        <f t="shared" si="165"/>
        <v>0</v>
      </c>
      <c r="AX108" s="31">
        <v>497.40603969309848</v>
      </c>
      <c r="AY108" s="116"/>
      <c r="AZ108" s="118">
        <v>118.52680000000001</v>
      </c>
      <c r="BA108" s="118">
        <v>100.43</v>
      </c>
      <c r="BB108" s="118">
        <v>74.42</v>
      </c>
      <c r="BC108" s="118">
        <v>98.26</v>
      </c>
      <c r="BE108" s="118">
        <f t="shared" si="157"/>
        <v>0</v>
      </c>
      <c r="BF108" s="118">
        <f t="shared" si="158"/>
        <v>0</v>
      </c>
      <c r="BG108" s="118">
        <f t="shared" si="159"/>
        <v>37.687516248169501</v>
      </c>
      <c r="BH108" s="118">
        <f t="shared" si="160"/>
        <v>-14.980270153807695</v>
      </c>
      <c r="BI108" s="122">
        <f t="shared" si="161"/>
        <v>22.707246094361807</v>
      </c>
      <c r="BJ108" s="118">
        <f t="shared" si="186"/>
        <v>0</v>
      </c>
      <c r="BK108" s="44">
        <v>2024</v>
      </c>
      <c r="BL108" s="8" t="b">
        <f t="shared" si="187"/>
        <v>1</v>
      </c>
      <c r="BM108" s="128">
        <f t="shared" si="145"/>
        <v>517.68864609436173</v>
      </c>
      <c r="BN108" s="129">
        <f t="shared" si="127"/>
        <v>0</v>
      </c>
      <c r="BR108" s="73">
        <f t="shared" si="188"/>
        <v>0</v>
      </c>
      <c r="BS108" s="73">
        <f t="shared" si="189"/>
        <v>0</v>
      </c>
      <c r="BT108" s="73">
        <f t="shared" si="190"/>
        <v>94.315135237401492</v>
      </c>
      <c r="BU108" s="73">
        <f t="shared" si="191"/>
        <v>103.77322025008162</v>
      </c>
      <c r="BV108" s="73">
        <f t="shared" si="192"/>
        <v>84.287736073901783</v>
      </c>
      <c r="BW108" s="73">
        <f t="shared" si="193"/>
        <v>90.131453782097537</v>
      </c>
      <c r="BX108" s="73">
        <f t="shared" si="194"/>
        <v>64.114373987979832</v>
      </c>
      <c r="BY108" s="73">
        <f t="shared" si="195"/>
        <v>-6.2858208845041513E-14</v>
      </c>
      <c r="BZ108" s="74">
        <f t="shared" si="196"/>
        <v>523.94630319775467</v>
      </c>
      <c r="CB108" s="75">
        <f t="shared" si="154"/>
        <v>523.94630319775467</v>
      </c>
      <c r="CJ108" s="70">
        <f t="shared" si="162"/>
        <v>0</v>
      </c>
      <c r="CK108" s="166"/>
      <c r="CL108" s="163"/>
      <c r="CM108" s="68"/>
      <c r="CN108" s="20">
        <v>105.9</v>
      </c>
      <c r="CQ108" s="177">
        <f t="shared" si="155"/>
        <v>452.97239999999999</v>
      </c>
      <c r="CR108" s="177">
        <f t="shared" si="156"/>
        <v>-5.6686000000000263</v>
      </c>
    </row>
    <row r="109" spans="1:96" s="8" customFormat="1" ht="37.5" x14ac:dyDescent="0.3">
      <c r="A109" s="44"/>
      <c r="B109" s="51" t="s">
        <v>75</v>
      </c>
      <c r="C109" s="76" t="s">
        <v>446</v>
      </c>
      <c r="D109" s="20" t="s">
        <v>243</v>
      </c>
      <c r="E109" s="21" t="s">
        <v>488</v>
      </c>
      <c r="F109" s="21">
        <f t="shared" si="173"/>
        <v>2020</v>
      </c>
      <c r="G109" s="46" t="str">
        <f t="shared" si="174"/>
        <v>Ошибка в +</v>
      </c>
      <c r="H109" s="46">
        <f t="shared" si="175"/>
        <v>2024</v>
      </c>
      <c r="I109" s="22" t="s">
        <v>131</v>
      </c>
      <c r="J109" s="20" t="s">
        <v>131</v>
      </c>
      <c r="K109" s="20">
        <v>0</v>
      </c>
      <c r="L109" s="20">
        <f t="shared" si="176"/>
        <v>1056.1299999999999</v>
      </c>
      <c r="M109" s="20">
        <v>73.927999999999997</v>
      </c>
      <c r="N109" s="20">
        <v>866.02800000000002</v>
      </c>
      <c r="O109" s="20">
        <v>31.684000000000001</v>
      </c>
      <c r="P109" s="20">
        <v>84.49</v>
      </c>
      <c r="Q109" s="20">
        <v>997.54063808307376</v>
      </c>
      <c r="R109" s="20">
        <f t="shared" si="177"/>
        <v>69.826805688888186</v>
      </c>
      <c r="S109" s="20">
        <f t="shared" si="178"/>
        <v>817.98464556239139</v>
      </c>
      <c r="T109" s="20">
        <f t="shared" si="179"/>
        <v>29.926313594940126</v>
      </c>
      <c r="U109" s="20">
        <f t="shared" si="180"/>
        <v>79.802873236854268</v>
      </c>
      <c r="V109" s="20">
        <v>0</v>
      </c>
      <c r="W109" s="20">
        <f t="shared" si="181"/>
        <v>1056.1299999999999</v>
      </c>
      <c r="X109" s="20"/>
      <c r="Y109" s="20">
        <f t="shared" si="182"/>
        <v>501.40999999999985</v>
      </c>
      <c r="Z109" s="28"/>
      <c r="AA109" s="20">
        <f t="shared" si="183"/>
        <v>544.05493808307381</v>
      </c>
      <c r="AB109" s="20">
        <v>0</v>
      </c>
      <c r="AC109" s="20">
        <v>0</v>
      </c>
      <c r="AD109" s="174">
        <v>237.89</v>
      </c>
      <c r="AE109" s="20">
        <v>142.9614</v>
      </c>
      <c r="AF109" s="20">
        <v>316.83</v>
      </c>
      <c r="AG109" s="20">
        <v>310.52429999999993</v>
      </c>
      <c r="AH109" s="20">
        <v>196.36099999999999</v>
      </c>
      <c r="AI109" s="20">
        <f>145.0834+4.4</f>
        <v>149.48340000000002</v>
      </c>
      <c r="AJ109" s="20">
        <v>204.36</v>
      </c>
      <c r="AK109" s="20">
        <v>228.57482804757998</v>
      </c>
      <c r="AL109" s="20">
        <v>195.61799999999999</v>
      </c>
      <c r="AM109" s="20">
        <v>165.99671003549369</v>
      </c>
      <c r="AN109" s="20">
        <f t="shared" si="184"/>
        <v>1151.059</v>
      </c>
      <c r="AO109" s="20">
        <f t="shared" si="185"/>
        <v>997.54063808307376</v>
      </c>
      <c r="AP109" s="94" t="s">
        <v>501</v>
      </c>
      <c r="AQ109" s="131"/>
      <c r="AR109" s="114">
        <f t="shared" si="163"/>
        <v>-94.929000000000087</v>
      </c>
      <c r="AS109" s="85">
        <f t="shared" si="164"/>
        <v>0</v>
      </c>
      <c r="AT109" s="113">
        <f t="shared" si="166"/>
        <v>-58.589361916926123</v>
      </c>
      <c r="AV109" s="105">
        <f t="shared" si="165"/>
        <v>0</v>
      </c>
      <c r="AW109" s="166">
        <v>7</v>
      </c>
      <c r="AX109" s="31">
        <v>1152.1179409132424</v>
      </c>
      <c r="AY109" s="116"/>
      <c r="AZ109" s="118">
        <v>310.52429999999993</v>
      </c>
      <c r="BA109" s="118">
        <v>135.41999999999999</v>
      </c>
      <c r="BB109" s="118">
        <v>245</v>
      </c>
      <c r="BC109" s="118">
        <v>258.3</v>
      </c>
      <c r="BD109" s="8" t="s">
        <v>573</v>
      </c>
      <c r="BE109" s="118">
        <f t="shared" si="157"/>
        <v>0</v>
      </c>
      <c r="BF109" s="118">
        <f t="shared" si="158"/>
        <v>14.06340000000003</v>
      </c>
      <c r="BG109" s="118">
        <f t="shared" si="159"/>
        <v>-16.425171952420015</v>
      </c>
      <c r="BH109" s="118">
        <f t="shared" si="160"/>
        <v>-92.30328996450632</v>
      </c>
      <c r="BI109" s="122">
        <f t="shared" si="161"/>
        <v>-94.665061916926305</v>
      </c>
      <c r="BJ109" s="118">
        <f t="shared" si="186"/>
        <v>0</v>
      </c>
      <c r="BK109" s="44">
        <v>2024</v>
      </c>
      <c r="BL109" s="8" t="b">
        <f t="shared" si="187"/>
        <v>1</v>
      </c>
      <c r="BM109" s="128">
        <f t="shared" si="145"/>
        <v>997.54063808307376</v>
      </c>
      <c r="BN109" s="129">
        <f t="shared" si="127"/>
        <v>0</v>
      </c>
      <c r="BR109" s="73">
        <f t="shared" si="188"/>
        <v>0</v>
      </c>
      <c r="BS109" s="73">
        <f t="shared" si="189"/>
        <v>0</v>
      </c>
      <c r="BT109" s="73">
        <f t="shared" si="190"/>
        <v>130.47052071156355</v>
      </c>
      <c r="BU109" s="73">
        <f t="shared" si="191"/>
        <v>271.87190219344831</v>
      </c>
      <c r="BV109" s="73">
        <f t="shared" si="192"/>
        <v>125.4567098140943</v>
      </c>
      <c r="BW109" s="73">
        <f t="shared" si="193"/>
        <v>183.7680669359913</v>
      </c>
      <c r="BX109" s="73">
        <f t="shared" si="194"/>
        <v>127.79550519250986</v>
      </c>
      <c r="BY109" s="73">
        <f t="shared" si="195"/>
        <v>8.3810945126722021E-14</v>
      </c>
      <c r="BZ109" s="74">
        <f t="shared" si="196"/>
        <v>1007.2352458171289</v>
      </c>
      <c r="CB109" s="75">
        <f t="shared" si="154"/>
        <v>1007.2352458171288</v>
      </c>
      <c r="CJ109" s="70">
        <f t="shared" si="162"/>
        <v>-1.8474111129762605E-13</v>
      </c>
      <c r="CK109" s="166"/>
      <c r="CL109" s="163"/>
      <c r="CM109" s="68"/>
      <c r="CN109" s="20">
        <v>237.988</v>
      </c>
      <c r="CQ109" s="177">
        <f t="shared" si="155"/>
        <v>1049.8246999999999</v>
      </c>
      <c r="CR109" s="177">
        <f t="shared" si="156"/>
        <v>-101.23430000000008</v>
      </c>
    </row>
    <row r="110" spans="1:96" s="8" customFormat="1" ht="37.5" x14ac:dyDescent="0.3">
      <c r="A110" s="44"/>
      <c r="B110" s="51" t="s">
        <v>75</v>
      </c>
      <c r="C110" s="76" t="s">
        <v>447</v>
      </c>
      <c r="D110" s="20" t="s">
        <v>244</v>
      </c>
      <c r="E110" s="21" t="s">
        <v>488</v>
      </c>
      <c r="F110" s="21">
        <f t="shared" si="173"/>
        <v>2020</v>
      </c>
      <c r="G110" s="46">
        <f t="shared" si="174"/>
        <v>2025</v>
      </c>
      <c r="H110" s="46">
        <f t="shared" si="175"/>
        <v>2024</v>
      </c>
      <c r="I110" s="22" t="s">
        <v>131</v>
      </c>
      <c r="J110" s="20" t="s">
        <v>131</v>
      </c>
      <c r="K110" s="20">
        <v>0</v>
      </c>
      <c r="L110" s="20">
        <f t="shared" si="176"/>
        <v>1084.182</v>
      </c>
      <c r="M110" s="20">
        <v>75.893000000000001</v>
      </c>
      <c r="N110" s="20">
        <v>889.029</v>
      </c>
      <c r="O110" s="20">
        <v>32.526000000000003</v>
      </c>
      <c r="P110" s="20">
        <v>86.733999999999995</v>
      </c>
      <c r="Q110" s="20">
        <v>1019.8058542444784</v>
      </c>
      <c r="R110" s="20">
        <f t="shared" si="177"/>
        <v>71.386654358932546</v>
      </c>
      <c r="S110" s="20">
        <f t="shared" si="178"/>
        <v>836.24057473110088</v>
      </c>
      <c r="T110" s="20">
        <f t="shared" si="179"/>
        <v>30.594683563420077</v>
      </c>
      <c r="U110" s="20">
        <f t="shared" si="180"/>
        <v>81.583941591024924</v>
      </c>
      <c r="V110" s="20">
        <v>0</v>
      </c>
      <c r="W110" s="20">
        <f t="shared" si="181"/>
        <v>1084.182</v>
      </c>
      <c r="X110" s="20"/>
      <c r="Y110" s="20">
        <f t="shared" si="182"/>
        <v>623.66200000000003</v>
      </c>
      <c r="Z110" s="28"/>
      <c r="AA110" s="20">
        <f t="shared" si="183"/>
        <v>512.81775424447846</v>
      </c>
      <c r="AB110" s="20">
        <v>0</v>
      </c>
      <c r="AC110" s="20">
        <v>0</v>
      </c>
      <c r="AD110" s="174">
        <v>231.07</v>
      </c>
      <c r="AE110" s="20">
        <v>274.52609999999999</v>
      </c>
      <c r="AF110" s="20">
        <v>229.45</v>
      </c>
      <c r="AG110" s="20">
        <v>232.46199999999996</v>
      </c>
      <c r="AH110" s="20">
        <v>190.285</v>
      </c>
      <c r="AI110" s="20">
        <f>146.20688+7</f>
        <v>153.20688000000001</v>
      </c>
      <c r="AJ110" s="20">
        <v>199.75800000000001</v>
      </c>
      <c r="AK110" s="20">
        <v>207.93507233378801</v>
      </c>
      <c r="AL110" s="20">
        <v>190.16300000000001</v>
      </c>
      <c r="AM110" s="20">
        <v>151.67580191069041</v>
      </c>
      <c r="AN110" s="20">
        <f t="shared" si="184"/>
        <v>1040.7260000000001</v>
      </c>
      <c r="AO110" s="20">
        <f t="shared" si="185"/>
        <v>1019.8058542444784</v>
      </c>
      <c r="AP110" s="94" t="s">
        <v>501</v>
      </c>
      <c r="AQ110" s="131"/>
      <c r="AR110" s="114">
        <f t="shared" si="163"/>
        <v>43.455999999999904</v>
      </c>
      <c r="AS110" s="85">
        <f t="shared" si="164"/>
        <v>0</v>
      </c>
      <c r="AT110" s="113">
        <f t="shared" si="166"/>
        <v>-64.376145755521634</v>
      </c>
      <c r="AV110" s="105">
        <f t="shared" si="165"/>
        <v>0</v>
      </c>
      <c r="AW110" s="166"/>
      <c r="AX110" s="31">
        <v>1208.1132707384324</v>
      </c>
      <c r="AY110" s="116"/>
      <c r="AZ110" s="118">
        <v>232.46199999999996</v>
      </c>
      <c r="BA110" s="118">
        <v>144.71</v>
      </c>
      <c r="BB110" s="118">
        <v>239.5</v>
      </c>
      <c r="BC110" s="118">
        <v>251</v>
      </c>
      <c r="BE110" s="118">
        <f t="shared" si="157"/>
        <v>0</v>
      </c>
      <c r="BF110" s="118">
        <f t="shared" si="158"/>
        <v>8.4968800000000044</v>
      </c>
      <c r="BG110" s="118">
        <f t="shared" si="159"/>
        <v>-31.564927666211986</v>
      </c>
      <c r="BH110" s="118">
        <f t="shared" si="160"/>
        <v>-99.32419808930959</v>
      </c>
      <c r="BI110" s="122">
        <f t="shared" si="161"/>
        <v>-122.39224575552157</v>
      </c>
      <c r="BJ110" s="118">
        <f t="shared" si="186"/>
        <v>0</v>
      </c>
      <c r="BK110" s="44">
        <v>2024</v>
      </c>
      <c r="BL110" s="8" t="b">
        <f t="shared" si="187"/>
        <v>1</v>
      </c>
      <c r="BM110" s="128">
        <f t="shared" si="145"/>
        <v>1019.8058542444784</v>
      </c>
      <c r="BN110" s="129">
        <f t="shared" si="127"/>
        <v>0</v>
      </c>
      <c r="BR110" s="73">
        <f t="shared" si="188"/>
        <v>0</v>
      </c>
      <c r="BS110" s="73">
        <f t="shared" si="189"/>
        <v>0</v>
      </c>
      <c r="BT110" s="73">
        <f t="shared" si="190"/>
        <v>250.54009834762923</v>
      </c>
      <c r="BU110" s="73">
        <f t="shared" si="191"/>
        <v>203.52637821804407</v>
      </c>
      <c r="BV110" s="73">
        <f t="shared" si="192"/>
        <v>128.5817093114203</v>
      </c>
      <c r="BW110" s="73">
        <f t="shared" si="193"/>
        <v>167.17425368913152</v>
      </c>
      <c r="BX110" s="73">
        <f t="shared" si="194"/>
        <v>116.77030060722966</v>
      </c>
      <c r="BY110" s="73">
        <f t="shared" si="195"/>
        <v>2.0952736281680505E-14</v>
      </c>
      <c r="BZ110" s="74">
        <f t="shared" si="196"/>
        <v>1039.9112882081456</v>
      </c>
      <c r="CB110" s="75">
        <f t="shared" si="154"/>
        <v>1039.9112882081456</v>
      </c>
      <c r="CJ110" s="70">
        <f t="shared" si="162"/>
        <v>0</v>
      </c>
      <c r="CK110" s="166"/>
      <c r="CL110" s="163"/>
      <c r="CM110" s="68"/>
      <c r="CN110" s="20">
        <v>231.054</v>
      </c>
      <c r="CQ110" s="177">
        <f t="shared" si="155"/>
        <v>1087.1940999999999</v>
      </c>
      <c r="CR110" s="177">
        <f t="shared" si="156"/>
        <v>46.468099999999822</v>
      </c>
    </row>
    <row r="111" spans="1:96" s="8" customFormat="1" ht="48" customHeight="1" x14ac:dyDescent="0.3">
      <c r="A111" s="44"/>
      <c r="B111" s="51" t="s">
        <v>75</v>
      </c>
      <c r="C111" s="157" t="s">
        <v>448</v>
      </c>
      <c r="D111" s="20" t="s">
        <v>245</v>
      </c>
      <c r="E111" s="21" t="s">
        <v>488</v>
      </c>
      <c r="F111" s="21">
        <f t="shared" si="173"/>
        <v>2020</v>
      </c>
      <c r="G111" s="46">
        <f t="shared" si="174"/>
        <v>2025</v>
      </c>
      <c r="H111" s="46">
        <f t="shared" si="175"/>
        <v>2024</v>
      </c>
      <c r="I111" s="22" t="s">
        <v>131</v>
      </c>
      <c r="J111" s="20" t="s">
        <v>131</v>
      </c>
      <c r="K111" s="20">
        <v>0</v>
      </c>
      <c r="L111" s="20">
        <f t="shared" si="176"/>
        <v>6501.9710999999998</v>
      </c>
      <c r="M111" s="20">
        <v>455.142</v>
      </c>
      <c r="N111" s="20">
        <v>5331.6549999999997</v>
      </c>
      <c r="O111" s="20">
        <v>195.059</v>
      </c>
      <c r="P111" s="20">
        <f>520.161-0.0459</f>
        <v>520.11509999999998</v>
      </c>
      <c r="Q111" s="107">
        <v>6668.3331399999997</v>
      </c>
      <c r="R111" s="107">
        <f>M111/L111*Q111</f>
        <v>466.78744573409136</v>
      </c>
      <c r="S111" s="107">
        <f>N111/L111*Q111</f>
        <v>5468.0728629425466</v>
      </c>
      <c r="T111" s="107">
        <f>O111/L111*Q111</f>
        <v>200.04985779700866</v>
      </c>
      <c r="U111" s="107">
        <f>P111/L111*Q111</f>
        <v>533.4229735263533</v>
      </c>
      <c r="V111" s="20">
        <v>0</v>
      </c>
      <c r="W111" s="20">
        <f t="shared" si="181"/>
        <v>6501.9710999999998</v>
      </c>
      <c r="X111" s="20"/>
      <c r="Y111" s="20">
        <f t="shared" si="182"/>
        <v>4370.5010999999995</v>
      </c>
      <c r="Z111" s="28"/>
      <c r="AA111" s="20">
        <f t="shared" si="183"/>
        <v>3967.0546999999997</v>
      </c>
      <c r="AB111" s="20">
        <v>0</v>
      </c>
      <c r="AC111" s="20">
        <v>0</v>
      </c>
      <c r="AD111" s="174">
        <v>1001.2</v>
      </c>
      <c r="AE111" s="20">
        <f>1463.6361-0.055-0.046</f>
        <v>1463.5350999999998</v>
      </c>
      <c r="AF111" s="20">
        <v>1130.2700000000002</v>
      </c>
      <c r="AG111" s="20">
        <v>1237.74334</v>
      </c>
      <c r="AH111" s="20">
        <v>1251.7739999999999</v>
      </c>
      <c r="AI111" s="139">
        <f>1261.2297-7-10.846-60.3</f>
        <v>1183.0837000000001</v>
      </c>
      <c r="AJ111" s="20">
        <v>1277.57</v>
      </c>
      <c r="AK111" s="154">
        <f>1256.562-136.4</f>
        <v>1120.1619999999998</v>
      </c>
      <c r="AL111" s="20">
        <f>1378.768+0.054</f>
        <v>1378.8220000000001</v>
      </c>
      <c r="AM111" s="154">
        <f>1312.809+351</f>
        <v>1663.809</v>
      </c>
      <c r="AN111" s="20">
        <f t="shared" si="184"/>
        <v>6039.6360000000004</v>
      </c>
      <c r="AO111" s="20">
        <f t="shared" si="185"/>
        <v>6668.3331399999997</v>
      </c>
      <c r="AP111" s="94" t="s">
        <v>501</v>
      </c>
      <c r="AQ111" s="131"/>
      <c r="AR111" s="114">
        <f t="shared" si="163"/>
        <v>462.33509999999933</v>
      </c>
      <c r="AS111" s="85">
        <f t="shared" si="164"/>
        <v>0</v>
      </c>
      <c r="AT111" s="113">
        <f t="shared" si="166"/>
        <v>166.36203999999998</v>
      </c>
      <c r="AV111" s="105">
        <f t="shared" si="165"/>
        <v>0</v>
      </c>
      <c r="AW111" s="166" t="s">
        <v>574</v>
      </c>
      <c r="AX111" s="31">
        <v>7275.6045744349703</v>
      </c>
      <c r="AY111" s="116"/>
      <c r="AZ111" s="118">
        <v>1237.74334</v>
      </c>
      <c r="BA111" s="118">
        <v>1121.0050000000001</v>
      </c>
      <c r="BB111" s="118">
        <v>1683.66</v>
      </c>
      <c r="BC111" s="118">
        <v>1247.26</v>
      </c>
      <c r="BD111" s="8" t="s">
        <v>572</v>
      </c>
      <c r="BE111" s="118">
        <f t="shared" si="157"/>
        <v>0</v>
      </c>
      <c r="BF111" s="118">
        <f t="shared" si="158"/>
        <v>62.078700000000026</v>
      </c>
      <c r="BG111" s="118">
        <f t="shared" si="159"/>
        <v>-563.49800000000027</v>
      </c>
      <c r="BH111" s="118">
        <f t="shared" si="160"/>
        <v>416.54899999999998</v>
      </c>
      <c r="BI111" s="122">
        <f t="shared" si="161"/>
        <v>-84.87030000000027</v>
      </c>
      <c r="BJ111" s="118">
        <f t="shared" si="186"/>
        <v>0</v>
      </c>
      <c r="BK111" s="44">
        <v>2024</v>
      </c>
      <c r="BL111" s="8" t="b">
        <f t="shared" si="187"/>
        <v>1</v>
      </c>
      <c r="BM111" s="128">
        <f t="shared" si="145"/>
        <v>6668.3331399999997</v>
      </c>
      <c r="BN111" s="129">
        <f t="shared" si="127"/>
        <v>0</v>
      </c>
      <c r="BR111" s="86">
        <f t="shared" si="188"/>
        <v>0</v>
      </c>
      <c r="BS111" s="86">
        <f t="shared" si="189"/>
        <v>0</v>
      </c>
      <c r="BT111" s="91">
        <f t="shared" si="190"/>
        <v>1335.6625395152132</v>
      </c>
      <c r="BU111" s="91">
        <f t="shared" si="191"/>
        <v>1083.6756938927874</v>
      </c>
      <c r="BV111" s="91">
        <f t="shared" si="192"/>
        <v>992.92488956422585</v>
      </c>
      <c r="BW111" s="91">
        <f t="shared" si="193"/>
        <v>900.58037953463645</v>
      </c>
      <c r="BX111" s="91">
        <f t="shared" si="194"/>
        <v>1280.9128063645376</v>
      </c>
      <c r="BY111" s="86">
        <f t="shared" si="195"/>
        <v>-1.6762189025344404E-13</v>
      </c>
      <c r="BZ111" s="87">
        <f t="shared" si="196"/>
        <v>6712.5075706456801</v>
      </c>
      <c r="CB111" s="75">
        <f t="shared" si="154"/>
        <v>6712.5075706456801</v>
      </c>
      <c r="CJ111" s="70">
        <f t="shared" si="162"/>
        <v>0</v>
      </c>
      <c r="CK111" s="166"/>
      <c r="CL111" s="163"/>
      <c r="CM111" s="68"/>
      <c r="CN111" s="20">
        <v>1001.2360000000001</v>
      </c>
      <c r="CQ111" s="177">
        <f t="shared" si="155"/>
        <v>6609.4444400000002</v>
      </c>
      <c r="CR111" s="177">
        <f t="shared" si="156"/>
        <v>569.80843999999979</v>
      </c>
    </row>
    <row r="112" spans="1:96" s="8" customFormat="1" ht="37.5" x14ac:dyDescent="0.3">
      <c r="A112" s="44"/>
      <c r="B112" s="51" t="s">
        <v>75</v>
      </c>
      <c r="C112" s="76" t="s">
        <v>479</v>
      </c>
      <c r="D112" s="20" t="s">
        <v>247</v>
      </c>
      <c r="E112" s="21" t="s">
        <v>488</v>
      </c>
      <c r="F112" s="21">
        <f t="shared" si="173"/>
        <v>2020</v>
      </c>
      <c r="G112" s="46">
        <f t="shared" si="174"/>
        <v>2025</v>
      </c>
      <c r="H112" s="46">
        <f t="shared" si="175"/>
        <v>2024</v>
      </c>
      <c r="I112" s="22" t="s">
        <v>131</v>
      </c>
      <c r="J112" s="20" t="s">
        <v>131</v>
      </c>
      <c r="K112" s="20">
        <v>0</v>
      </c>
      <c r="L112" s="20">
        <f t="shared" si="176"/>
        <v>804.90700000000004</v>
      </c>
      <c r="M112" s="20">
        <v>56.343000000000004</v>
      </c>
      <c r="N112" s="20">
        <v>660.024</v>
      </c>
      <c r="O112" s="20">
        <v>24.146999999999998</v>
      </c>
      <c r="P112" s="20">
        <v>64.393000000000001</v>
      </c>
      <c r="Q112" s="20">
        <v>1038.6526013853083</v>
      </c>
      <c r="R112" s="20">
        <f t="shared" si="177"/>
        <v>72.705049800601103</v>
      </c>
      <c r="S112" s="20">
        <f t="shared" si="178"/>
        <v>851.69546864014933</v>
      </c>
      <c r="T112" s="20">
        <f t="shared" si="179"/>
        <v>31.159307057400465</v>
      </c>
      <c r="U112" s="20">
        <f t="shared" si="180"/>
        <v>83.092775887157345</v>
      </c>
      <c r="V112" s="20">
        <v>0</v>
      </c>
      <c r="W112" s="20">
        <f t="shared" si="181"/>
        <v>804.90700000000004</v>
      </c>
      <c r="X112" s="20"/>
      <c r="Y112" s="20">
        <f t="shared" si="182"/>
        <v>472.06700000000001</v>
      </c>
      <c r="Z112" s="28"/>
      <c r="AA112" s="20">
        <f t="shared" si="183"/>
        <v>620.30532138530839</v>
      </c>
      <c r="AB112" s="20">
        <v>0</v>
      </c>
      <c r="AC112" s="20">
        <v>0</v>
      </c>
      <c r="AD112" s="174">
        <v>161.9</v>
      </c>
      <c r="AE112" s="20">
        <v>222.73079999999999</v>
      </c>
      <c r="AF112" s="20">
        <v>170.94</v>
      </c>
      <c r="AG112" s="20">
        <v>195.61648000000002</v>
      </c>
      <c r="AH112" s="20">
        <v>151.56100000000001</v>
      </c>
      <c r="AI112" s="20">
        <f>226.88</f>
        <v>226.88</v>
      </c>
      <c r="AJ112" s="20">
        <v>125.626</v>
      </c>
      <c r="AK112" s="20">
        <v>217.45549380891998</v>
      </c>
      <c r="AL112" s="20">
        <v>134.04900000000001</v>
      </c>
      <c r="AM112" s="20">
        <v>175.9698275763883</v>
      </c>
      <c r="AN112" s="20">
        <f t="shared" si="184"/>
        <v>744.07600000000002</v>
      </c>
      <c r="AO112" s="20">
        <f t="shared" si="185"/>
        <v>1038.6526013853083</v>
      </c>
      <c r="AP112" s="94" t="s">
        <v>501</v>
      </c>
      <c r="AQ112" s="131"/>
      <c r="AR112" s="114">
        <f t="shared" si="163"/>
        <v>60.831000000000017</v>
      </c>
      <c r="AS112" s="85">
        <f t="shared" si="164"/>
        <v>0</v>
      </c>
      <c r="AT112" s="113">
        <f t="shared" si="166"/>
        <v>233.7456013853083</v>
      </c>
      <c r="AV112" s="105">
        <f t="shared" si="165"/>
        <v>0</v>
      </c>
      <c r="AW112" s="166" t="s">
        <v>575</v>
      </c>
      <c r="AX112" s="31">
        <v>918.93838245047141</v>
      </c>
      <c r="AY112" s="116"/>
      <c r="AZ112" s="118">
        <v>195.61648000000002</v>
      </c>
      <c r="BA112" s="118">
        <v>226.88</v>
      </c>
      <c r="BB112" s="118">
        <v>192.63</v>
      </c>
      <c r="BC112" s="118">
        <v>218.98</v>
      </c>
      <c r="BD112" s="8" t="s">
        <v>572</v>
      </c>
      <c r="BE112" s="118">
        <f t="shared" si="157"/>
        <v>0</v>
      </c>
      <c r="BF112" s="118">
        <f t="shared" si="158"/>
        <v>0</v>
      </c>
      <c r="BG112" s="118">
        <f t="shared" si="159"/>
        <v>24.825493808919987</v>
      </c>
      <c r="BH112" s="118">
        <f t="shared" si="160"/>
        <v>-43.010172423611692</v>
      </c>
      <c r="BI112" s="122">
        <f t="shared" si="161"/>
        <v>-18.184678614691705</v>
      </c>
      <c r="BJ112" s="118">
        <f t="shared" si="186"/>
        <v>0</v>
      </c>
      <c r="BK112" s="44">
        <v>2024</v>
      </c>
      <c r="BL112" s="8" t="b">
        <f t="shared" si="187"/>
        <v>1</v>
      </c>
      <c r="BM112" s="128">
        <f t="shared" si="145"/>
        <v>1038.6526013853083</v>
      </c>
      <c r="BN112" s="129">
        <f t="shared" si="127"/>
        <v>0</v>
      </c>
      <c r="BR112" s="73">
        <f t="shared" si="188"/>
        <v>0</v>
      </c>
      <c r="BS112" s="73">
        <f t="shared" si="189"/>
        <v>0</v>
      </c>
      <c r="BT112" s="73">
        <f t="shared" si="190"/>
        <v>203.27027753297824</v>
      </c>
      <c r="BU112" s="73">
        <f t="shared" si="191"/>
        <v>171.26719074155116</v>
      </c>
      <c r="BV112" s="73">
        <f t="shared" si="192"/>
        <v>190.41323867815228</v>
      </c>
      <c r="BW112" s="73">
        <f t="shared" si="193"/>
        <v>174.82841869866053</v>
      </c>
      <c r="BX112" s="73">
        <f t="shared" si="194"/>
        <v>135.47348624532944</v>
      </c>
      <c r="BY112" s="73">
        <f t="shared" si="195"/>
        <v>0</v>
      </c>
      <c r="BZ112" s="74">
        <f t="shared" si="196"/>
        <v>1050.3031342760059</v>
      </c>
      <c r="CB112" s="75">
        <f t="shared" si="154"/>
        <v>1050.3031342760059</v>
      </c>
      <c r="CJ112" s="70">
        <f t="shared" si="162"/>
        <v>1.5631940186722204E-13</v>
      </c>
      <c r="CK112" s="166"/>
      <c r="CL112" s="163"/>
      <c r="CM112" s="68"/>
      <c r="CN112" s="20">
        <v>174.934</v>
      </c>
      <c r="CQ112" s="177">
        <f t="shared" si="155"/>
        <v>829.58327999999995</v>
      </c>
      <c r="CR112" s="177">
        <f t="shared" si="156"/>
        <v>85.507279999999923</v>
      </c>
    </row>
    <row r="113" spans="1:157" s="8" customFormat="1" ht="37.5" x14ac:dyDescent="0.3">
      <c r="A113" s="44"/>
      <c r="B113" s="51" t="s">
        <v>75</v>
      </c>
      <c r="C113" s="76" t="s">
        <v>478</v>
      </c>
      <c r="D113" s="20" t="s">
        <v>246</v>
      </c>
      <c r="E113" s="21" t="s">
        <v>488</v>
      </c>
      <c r="F113" s="21">
        <f t="shared" si="173"/>
        <v>2020</v>
      </c>
      <c r="G113" s="46" t="str">
        <f t="shared" si="174"/>
        <v>Ошибка в +</v>
      </c>
      <c r="H113" s="46">
        <f t="shared" si="175"/>
        <v>2024</v>
      </c>
      <c r="I113" s="22" t="s">
        <v>131</v>
      </c>
      <c r="J113" s="20" t="s">
        <v>131</v>
      </c>
      <c r="K113" s="20">
        <v>0</v>
      </c>
      <c r="L113" s="20">
        <f t="shared" si="176"/>
        <v>721.21999999999991</v>
      </c>
      <c r="M113" s="20">
        <v>50.484999999999999</v>
      </c>
      <c r="N113" s="20">
        <v>591.4</v>
      </c>
      <c r="O113" s="20">
        <v>21.637</v>
      </c>
      <c r="P113" s="20">
        <v>57.698</v>
      </c>
      <c r="Q113" s="20">
        <v>740.01486243421562</v>
      </c>
      <c r="R113" s="20">
        <f t="shared" si="177"/>
        <v>51.80062994646763</v>
      </c>
      <c r="S113" s="20">
        <f t="shared" si="178"/>
        <v>606.81177677212929</v>
      </c>
      <c r="T113" s="20">
        <f t="shared" si="179"/>
        <v>22.200856296953944</v>
      </c>
      <c r="U113" s="20">
        <f t="shared" si="180"/>
        <v>59.201599418664728</v>
      </c>
      <c r="V113" s="20">
        <v>0</v>
      </c>
      <c r="W113" s="20">
        <f t="shared" si="181"/>
        <v>721.21999999999991</v>
      </c>
      <c r="X113" s="20"/>
      <c r="Y113" s="20">
        <f t="shared" si="182"/>
        <v>355.43999999999994</v>
      </c>
      <c r="Z113" s="28"/>
      <c r="AA113" s="20">
        <f t="shared" si="183"/>
        <v>399.07546243421564</v>
      </c>
      <c r="AB113" s="20">
        <v>0</v>
      </c>
      <c r="AC113" s="20">
        <v>0</v>
      </c>
      <c r="AD113" s="174">
        <v>174.9</v>
      </c>
      <c r="AE113" s="20">
        <v>147.9562</v>
      </c>
      <c r="AF113" s="20">
        <v>190.88</v>
      </c>
      <c r="AG113" s="20">
        <v>192.98320000000001</v>
      </c>
      <c r="AH113" s="20">
        <v>143.22</v>
      </c>
      <c r="AI113" s="20">
        <v>136.05000000000001</v>
      </c>
      <c r="AJ113" s="20">
        <v>116.54600000000001</v>
      </c>
      <c r="AK113" s="20">
        <v>168.77499999999998</v>
      </c>
      <c r="AL113" s="20">
        <v>122.61799999999999</v>
      </c>
      <c r="AM113" s="20">
        <v>94.250462434215606</v>
      </c>
      <c r="AN113" s="20">
        <f t="shared" si="184"/>
        <v>748.16399999999999</v>
      </c>
      <c r="AO113" s="20">
        <f t="shared" si="185"/>
        <v>740.01486243421562</v>
      </c>
      <c r="AP113" s="94" t="s">
        <v>501</v>
      </c>
      <c r="AQ113" s="86"/>
      <c r="AR113" s="114">
        <f t="shared" si="163"/>
        <v>-26.944000000000074</v>
      </c>
      <c r="AS113" s="85">
        <f t="shared" si="164"/>
        <v>0</v>
      </c>
      <c r="AT113" s="113">
        <f t="shared" si="166"/>
        <v>18.794862434215702</v>
      </c>
      <c r="AV113" s="105">
        <f t="shared" si="165"/>
        <v>0</v>
      </c>
      <c r="AX113" s="31">
        <v>774.04305529479529</v>
      </c>
      <c r="AY113" s="116"/>
      <c r="AZ113" s="118">
        <v>192.98320000000001</v>
      </c>
      <c r="BA113" s="118">
        <v>136.05000000000001</v>
      </c>
      <c r="BB113" s="118">
        <v>139.75</v>
      </c>
      <c r="BC113" s="118">
        <v>161.9</v>
      </c>
      <c r="BE113" s="118">
        <f t="shared" si="157"/>
        <v>0</v>
      </c>
      <c r="BF113" s="118">
        <f t="shared" si="158"/>
        <v>0</v>
      </c>
      <c r="BG113" s="118">
        <f t="shared" si="159"/>
        <v>29.024999999999977</v>
      </c>
      <c r="BH113" s="118">
        <f t="shared" si="160"/>
        <v>-67.649537565784399</v>
      </c>
      <c r="BI113" s="122">
        <f t="shared" si="161"/>
        <v>-38.624537565784422</v>
      </c>
      <c r="BJ113" s="118">
        <f t="shared" si="186"/>
        <v>0</v>
      </c>
      <c r="BK113" s="44">
        <v>2024</v>
      </c>
      <c r="BL113" s="8" t="b">
        <f t="shared" si="187"/>
        <v>1</v>
      </c>
      <c r="BM113" s="128">
        <f t="shared" si="145"/>
        <v>740.01486243421562</v>
      </c>
      <c r="BN113" s="129">
        <f t="shared" si="127"/>
        <v>0</v>
      </c>
      <c r="BR113" s="73">
        <f t="shared" si="188"/>
        <v>0</v>
      </c>
      <c r="BS113" s="73">
        <f t="shared" si="189"/>
        <v>0</v>
      </c>
      <c r="BT113" s="73">
        <f t="shared" si="190"/>
        <v>135.02891309475311</v>
      </c>
      <c r="BU113" s="73">
        <f t="shared" si="191"/>
        <v>168.96168729912182</v>
      </c>
      <c r="BV113" s="73">
        <f t="shared" si="192"/>
        <v>114.18248026341071</v>
      </c>
      <c r="BW113" s="73">
        <f t="shared" si="193"/>
        <v>135.69059971321852</v>
      </c>
      <c r="BX113" s="73">
        <f t="shared" si="194"/>
        <v>72.560386641595613</v>
      </c>
      <c r="BY113" s="73">
        <f t="shared" si="195"/>
        <v>3.1429104422520756E-14</v>
      </c>
      <c r="BZ113" s="74">
        <f t="shared" si="196"/>
        <v>751.70888041451974</v>
      </c>
      <c r="CB113" s="75">
        <f t="shared" si="154"/>
        <v>751.70888041451974</v>
      </c>
      <c r="CJ113" s="70">
        <f t="shared" si="162"/>
        <v>0</v>
      </c>
      <c r="CK113" s="166"/>
      <c r="CL113" s="163"/>
      <c r="CM113" s="68"/>
      <c r="CN113" s="20">
        <v>161.88899999999998</v>
      </c>
      <c r="CQ113" s="177">
        <f t="shared" si="155"/>
        <v>723.32339999999999</v>
      </c>
      <c r="CR113" s="177">
        <f t="shared" si="156"/>
        <v>-24.840599999999995</v>
      </c>
    </row>
    <row r="114" spans="1:157" s="8" customFormat="1" ht="37.5" x14ac:dyDescent="0.3">
      <c r="A114" s="44"/>
      <c r="B114" s="51" t="s">
        <v>75</v>
      </c>
      <c r="C114" s="76" t="s">
        <v>449</v>
      </c>
      <c r="D114" s="20" t="s">
        <v>248</v>
      </c>
      <c r="E114" s="21" t="s">
        <v>488</v>
      </c>
      <c r="F114" s="21">
        <f t="shared" si="173"/>
        <v>2020</v>
      </c>
      <c r="G114" s="46">
        <f t="shared" si="174"/>
        <v>2025</v>
      </c>
      <c r="H114" s="46">
        <f t="shared" si="175"/>
        <v>2024</v>
      </c>
      <c r="I114" s="22" t="s">
        <v>131</v>
      </c>
      <c r="J114" s="20" t="s">
        <v>131</v>
      </c>
      <c r="K114" s="20">
        <v>0</v>
      </c>
      <c r="L114" s="20">
        <f t="shared" si="176"/>
        <v>1565.2300000000002</v>
      </c>
      <c r="M114" s="20">
        <v>109.56699999999999</v>
      </c>
      <c r="N114" s="20">
        <v>1283.489</v>
      </c>
      <c r="O114" s="20">
        <v>46.957000000000001</v>
      </c>
      <c r="P114" s="20">
        <v>125.217</v>
      </c>
      <c r="Q114" s="20">
        <v>1466.8883361021308</v>
      </c>
      <c r="R114" s="20">
        <f t="shared" si="177"/>
        <v>102.6830269811479</v>
      </c>
      <c r="S114" s="20">
        <f t="shared" si="178"/>
        <v>1202.848810472191</v>
      </c>
      <c r="T114" s="20">
        <f t="shared" si="179"/>
        <v>44.006743800174895</v>
      </c>
      <c r="U114" s="20">
        <f t="shared" si="180"/>
        <v>117.3497548486168</v>
      </c>
      <c r="V114" s="20">
        <v>0</v>
      </c>
      <c r="W114" s="20">
        <f t="shared" si="181"/>
        <v>1565.2300000000002</v>
      </c>
      <c r="X114" s="20"/>
      <c r="Y114" s="20">
        <f t="shared" si="182"/>
        <v>932.91000000000031</v>
      </c>
      <c r="Z114" s="28"/>
      <c r="AA114" s="20">
        <f t="shared" si="183"/>
        <v>624.17113610213096</v>
      </c>
      <c r="AB114" s="20">
        <v>0</v>
      </c>
      <c r="AC114" s="20">
        <v>0</v>
      </c>
      <c r="AD114" s="174">
        <v>299.2</v>
      </c>
      <c r="AE114" s="20">
        <v>492.78779999999995</v>
      </c>
      <c r="AF114" s="20">
        <v>333.12</v>
      </c>
      <c r="AG114" s="20">
        <v>349.92939999999993</v>
      </c>
      <c r="AH114" s="20">
        <v>244.85599999999999</v>
      </c>
      <c r="AI114" s="20">
        <v>177.90540000000001</v>
      </c>
      <c r="AJ114" s="20">
        <v>250.00800000000001</v>
      </c>
      <c r="AK114" s="20">
        <v>249.87235709751499</v>
      </c>
      <c r="AL114" s="20">
        <v>244.458</v>
      </c>
      <c r="AM114" s="20">
        <v>196.39337900461598</v>
      </c>
      <c r="AN114" s="20">
        <f t="shared" si="184"/>
        <v>1371.6420000000001</v>
      </c>
      <c r="AO114" s="20">
        <f t="shared" si="185"/>
        <v>1466.8883361021308</v>
      </c>
      <c r="AP114" s="94" t="s">
        <v>501</v>
      </c>
      <c r="AQ114" s="86"/>
      <c r="AR114" s="114">
        <f t="shared" si="163"/>
        <v>193.58800000000019</v>
      </c>
      <c r="AS114" s="85">
        <f t="shared" si="164"/>
        <v>0</v>
      </c>
      <c r="AT114" s="113">
        <f t="shared" si="166"/>
        <v>-98.341663897869466</v>
      </c>
      <c r="AV114" s="105">
        <f t="shared" si="165"/>
        <v>0</v>
      </c>
      <c r="AX114" s="31">
        <v>1704.3004302411728</v>
      </c>
      <c r="AY114" s="116"/>
      <c r="AZ114" s="118">
        <v>349.92939999999993</v>
      </c>
      <c r="BA114" s="118">
        <v>162.80000000000001</v>
      </c>
      <c r="BB114" s="118">
        <v>299.77999999999997</v>
      </c>
      <c r="BC114" s="118">
        <v>322.76</v>
      </c>
      <c r="BE114" s="118">
        <f t="shared" si="157"/>
        <v>0</v>
      </c>
      <c r="BF114" s="118">
        <f t="shared" si="158"/>
        <v>15.105400000000003</v>
      </c>
      <c r="BG114" s="118">
        <f t="shared" si="159"/>
        <v>-49.90764290248498</v>
      </c>
      <c r="BH114" s="118">
        <f t="shared" si="160"/>
        <v>-126.36662099538401</v>
      </c>
      <c r="BI114" s="122">
        <f t="shared" si="161"/>
        <v>-161.16886389786899</v>
      </c>
      <c r="BJ114" s="118">
        <f t="shared" si="186"/>
        <v>0</v>
      </c>
      <c r="BK114" s="44">
        <v>2024</v>
      </c>
      <c r="BL114" s="8" t="b">
        <f t="shared" si="187"/>
        <v>1</v>
      </c>
      <c r="BM114" s="128">
        <f t="shared" si="145"/>
        <v>1466.8883361021308</v>
      </c>
      <c r="BN114" s="129">
        <f t="shared" si="127"/>
        <v>0</v>
      </c>
      <c r="BR114" s="73">
        <f t="shared" si="188"/>
        <v>0</v>
      </c>
      <c r="BS114" s="73">
        <f t="shared" si="189"/>
        <v>0</v>
      </c>
      <c r="BT114" s="73">
        <f t="shared" si="190"/>
        <v>449.73175183165404</v>
      </c>
      <c r="BU114" s="73">
        <f t="shared" si="191"/>
        <v>306.37206689271034</v>
      </c>
      <c r="BV114" s="73">
        <f t="shared" si="192"/>
        <v>149.31039929624541</v>
      </c>
      <c r="BW114" s="73">
        <f t="shared" si="193"/>
        <v>200.89071240596834</v>
      </c>
      <c r="BX114" s="73">
        <f t="shared" si="194"/>
        <v>151.19691878828456</v>
      </c>
      <c r="BY114" s="73">
        <f t="shared" si="195"/>
        <v>0</v>
      </c>
      <c r="BZ114" s="74">
        <f t="shared" si="196"/>
        <v>1509.0022190578352</v>
      </c>
      <c r="CB114" s="75">
        <f t="shared" si="154"/>
        <v>1509.0022190578352</v>
      </c>
      <c r="CJ114" s="70">
        <f t="shared" si="162"/>
        <v>3.2684965844964609E-13</v>
      </c>
      <c r="CK114" s="166"/>
      <c r="CL114" s="163"/>
      <c r="CM114" s="68"/>
      <c r="CN114" s="20">
        <v>299.16199999999998</v>
      </c>
      <c r="CQ114" s="177">
        <f t="shared" si="155"/>
        <v>1582.0391999999999</v>
      </c>
      <c r="CR114" s="177">
        <f t="shared" si="156"/>
        <v>210.39719999999988</v>
      </c>
    </row>
    <row r="115" spans="1:157" s="8" customFormat="1" ht="37.5" x14ac:dyDescent="0.3">
      <c r="A115" s="44"/>
      <c r="B115" s="51" t="s">
        <v>75</v>
      </c>
      <c r="C115" s="76" t="s">
        <v>450</v>
      </c>
      <c r="D115" s="20" t="s">
        <v>249</v>
      </c>
      <c r="E115" s="21" t="s">
        <v>488</v>
      </c>
      <c r="F115" s="21">
        <f t="shared" si="173"/>
        <v>2020</v>
      </c>
      <c r="G115" s="46" t="str">
        <f t="shared" si="174"/>
        <v>Ошибка в +</v>
      </c>
      <c r="H115" s="46">
        <f t="shared" si="175"/>
        <v>2024</v>
      </c>
      <c r="I115" s="22" t="s">
        <v>131</v>
      </c>
      <c r="J115" s="20" t="s">
        <v>131</v>
      </c>
      <c r="K115" s="20">
        <v>0</v>
      </c>
      <c r="L115" s="20">
        <f t="shared" si="176"/>
        <v>1132.7860000000001</v>
      </c>
      <c r="M115" s="20">
        <v>79.295000000000002</v>
      </c>
      <c r="N115" s="20">
        <v>928.88599999999997</v>
      </c>
      <c r="O115" s="20">
        <v>33.984000000000002</v>
      </c>
      <c r="P115" s="20">
        <v>90.620999999999995</v>
      </c>
      <c r="Q115" s="20">
        <v>1075.6233963377051</v>
      </c>
      <c r="R115" s="20">
        <f t="shared" si="177"/>
        <v>75.293618752878587</v>
      </c>
      <c r="S115" s="20">
        <f t="shared" si="178"/>
        <v>882.0125903132149</v>
      </c>
      <c r="T115" s="20">
        <f t="shared" si="179"/>
        <v>32.269100696107273</v>
      </c>
      <c r="U115" s="20">
        <f t="shared" si="180"/>
        <v>86.048086575504257</v>
      </c>
      <c r="V115" s="20">
        <v>0</v>
      </c>
      <c r="W115" s="20">
        <f t="shared" si="181"/>
        <v>1132.7860000000001</v>
      </c>
      <c r="X115" s="20"/>
      <c r="Y115" s="20">
        <f t="shared" si="182"/>
        <v>619.62599999999998</v>
      </c>
      <c r="Z115" s="28"/>
      <c r="AA115" s="20">
        <f t="shared" si="183"/>
        <v>609.0482963377051</v>
      </c>
      <c r="AB115" s="20">
        <v>0</v>
      </c>
      <c r="AC115" s="20">
        <v>0</v>
      </c>
      <c r="AD115" s="174">
        <v>263.8</v>
      </c>
      <c r="AE115" s="20">
        <v>231.61490000000001</v>
      </c>
      <c r="AF115" s="20">
        <v>249.36</v>
      </c>
      <c r="AG115" s="20">
        <v>234.96020000000001</v>
      </c>
      <c r="AH115" s="20">
        <v>216.37899999999999</v>
      </c>
      <c r="AI115" s="20">
        <v>173.36410000000001</v>
      </c>
      <c r="AJ115" s="20">
        <v>219.161</v>
      </c>
      <c r="AK115" s="20">
        <v>243.977654397344</v>
      </c>
      <c r="AL115" s="20">
        <v>216.27099999999999</v>
      </c>
      <c r="AM115" s="20">
        <v>191.70654194036121</v>
      </c>
      <c r="AN115" s="20">
        <f t="shared" si="184"/>
        <v>1164.971</v>
      </c>
      <c r="AO115" s="20">
        <f t="shared" si="185"/>
        <v>1075.6233963377051</v>
      </c>
      <c r="AP115" s="94" t="s">
        <v>501</v>
      </c>
      <c r="AQ115" s="86"/>
      <c r="AR115" s="114">
        <f t="shared" si="163"/>
        <v>-32.184999999999945</v>
      </c>
      <c r="AS115" s="85">
        <f t="shared" si="164"/>
        <v>0</v>
      </c>
      <c r="AT115" s="113">
        <f t="shared" si="166"/>
        <v>-57.162603662294941</v>
      </c>
      <c r="AV115" s="105">
        <f t="shared" si="165"/>
        <v>0</v>
      </c>
      <c r="AX115" s="31">
        <v>1228.4497340883831</v>
      </c>
      <c r="AY115" s="116"/>
      <c r="AZ115" s="118">
        <v>234.96020000000001</v>
      </c>
      <c r="BA115" s="118">
        <v>167.41</v>
      </c>
      <c r="BB115" s="118">
        <v>262.73</v>
      </c>
      <c r="BC115" s="118">
        <v>285.54000000000002</v>
      </c>
      <c r="BE115" s="118">
        <f t="shared" si="157"/>
        <v>0</v>
      </c>
      <c r="BF115" s="118">
        <f t="shared" si="158"/>
        <v>5.9541000000000111</v>
      </c>
      <c r="BG115" s="118">
        <f t="shared" si="159"/>
        <v>-18.752345602656021</v>
      </c>
      <c r="BH115" s="118">
        <f t="shared" si="160"/>
        <v>-93.833458059638815</v>
      </c>
      <c r="BI115" s="122">
        <f t="shared" si="161"/>
        <v>-106.63170366229483</v>
      </c>
      <c r="BJ115" s="118">
        <f t="shared" si="186"/>
        <v>0</v>
      </c>
      <c r="BK115" s="44">
        <v>2024</v>
      </c>
      <c r="BL115" s="8" t="b">
        <f t="shared" si="187"/>
        <v>1</v>
      </c>
      <c r="BM115" s="128">
        <f t="shared" si="145"/>
        <v>1075.6233963377051</v>
      </c>
      <c r="BN115" s="129">
        <f t="shared" si="127"/>
        <v>0</v>
      </c>
      <c r="BR115" s="73">
        <f t="shared" si="188"/>
        <v>0</v>
      </c>
      <c r="BS115" s="73">
        <f t="shared" si="189"/>
        <v>0</v>
      </c>
      <c r="BT115" s="73">
        <f t="shared" si="190"/>
        <v>211.37815247721917</v>
      </c>
      <c r="BU115" s="73">
        <f t="shared" si="191"/>
        <v>205.71361569369313</v>
      </c>
      <c r="BV115" s="73">
        <f t="shared" si="192"/>
        <v>145.49902922920955</v>
      </c>
      <c r="BW115" s="73">
        <f t="shared" si="193"/>
        <v>196.15152861383484</v>
      </c>
      <c r="BX115" s="73">
        <f t="shared" si="194"/>
        <v>147.58867432215416</v>
      </c>
      <c r="BY115" s="73">
        <f t="shared" si="195"/>
        <v>-8.3810945126722021E-14</v>
      </c>
      <c r="BZ115" s="74">
        <f t="shared" si="196"/>
        <v>1087.5972004033329</v>
      </c>
      <c r="CB115" s="75">
        <f t="shared" si="154"/>
        <v>1087.5972004033329</v>
      </c>
      <c r="CJ115" s="70">
        <f t="shared" si="162"/>
        <v>0</v>
      </c>
      <c r="CK115" s="166"/>
      <c r="CL115" s="163"/>
      <c r="CM115" s="68"/>
      <c r="CN115" s="20">
        <v>263.75400000000002</v>
      </c>
      <c r="CQ115" s="177">
        <f t="shared" si="155"/>
        <v>1118.3860999999999</v>
      </c>
      <c r="CR115" s="177">
        <f t="shared" si="156"/>
        <v>-46.584900000000061</v>
      </c>
    </row>
    <row r="116" spans="1:157" ht="37.5" x14ac:dyDescent="0.3">
      <c r="B116" s="56" t="s">
        <v>77</v>
      </c>
      <c r="C116" s="57" t="s">
        <v>78</v>
      </c>
      <c r="D116" s="32" t="s">
        <v>129</v>
      </c>
      <c r="E116" s="32"/>
      <c r="F116" s="32"/>
      <c r="G116" s="33"/>
      <c r="H116" s="33"/>
      <c r="I116" s="34" t="s">
        <v>131</v>
      </c>
      <c r="J116" s="32">
        <f>SUM(J117:J140)</f>
        <v>1706.5284000000001</v>
      </c>
      <c r="K116" s="32">
        <f>SUM(K117:K140)</f>
        <v>0</v>
      </c>
      <c r="L116" s="32">
        <f>M116+N116+O116+P116</f>
        <v>1887.8061999999995</v>
      </c>
      <c r="M116" s="32">
        <f t="shared" ref="M116:AM116" si="197">SUM(M117:M140)</f>
        <v>132.14740699999999</v>
      </c>
      <c r="N116" s="32">
        <f t="shared" si="197"/>
        <v>1623.5252859999996</v>
      </c>
      <c r="O116" s="32">
        <f t="shared" si="197"/>
        <v>0</v>
      </c>
      <c r="P116" s="32">
        <f t="shared" si="197"/>
        <v>132.13350700000001</v>
      </c>
      <c r="Q116" s="32">
        <f t="shared" si="197"/>
        <v>2488.0448999999999</v>
      </c>
      <c r="R116" s="32">
        <f t="shared" si="197"/>
        <v>174.16314300000002</v>
      </c>
      <c r="S116" s="32">
        <f t="shared" si="197"/>
        <v>2139.7186139999999</v>
      </c>
      <c r="T116" s="32">
        <f t="shared" si="197"/>
        <v>0</v>
      </c>
      <c r="U116" s="32">
        <f t="shared" si="197"/>
        <v>174.16314300000002</v>
      </c>
      <c r="V116" s="32">
        <f t="shared" si="197"/>
        <v>0</v>
      </c>
      <c r="W116" s="32">
        <f t="shared" si="197"/>
        <v>1887.8062</v>
      </c>
      <c r="X116" s="32">
        <f t="shared" si="197"/>
        <v>0</v>
      </c>
      <c r="Y116" s="32">
        <f t="shared" si="197"/>
        <v>222.18339999999989</v>
      </c>
      <c r="Z116" s="32">
        <f t="shared" si="197"/>
        <v>0</v>
      </c>
      <c r="AA116" s="32">
        <f t="shared" si="197"/>
        <v>1393.3058000000001</v>
      </c>
      <c r="AB116" s="32">
        <f t="shared" si="197"/>
        <v>22.172799999999999</v>
      </c>
      <c r="AC116" s="32">
        <f t="shared" si="197"/>
        <v>22.172799999999999</v>
      </c>
      <c r="AD116" s="32">
        <f t="shared" si="197"/>
        <v>1194.6999999999998</v>
      </c>
      <c r="AE116" s="32">
        <f t="shared" si="197"/>
        <v>155.3877</v>
      </c>
      <c r="AF116" s="32">
        <f t="shared" si="197"/>
        <v>448.75</v>
      </c>
      <c r="AG116" s="32">
        <f t="shared" si="197"/>
        <v>917.17859999999996</v>
      </c>
      <c r="AH116" s="32">
        <f t="shared" si="197"/>
        <v>498.15000000000003</v>
      </c>
      <c r="AI116" s="32">
        <f t="shared" si="197"/>
        <v>573.71209999999996</v>
      </c>
      <c r="AJ116" s="32">
        <f t="shared" si="197"/>
        <v>494.50000000000006</v>
      </c>
      <c r="AK116" s="32">
        <f t="shared" si="197"/>
        <v>0.2</v>
      </c>
      <c r="AL116" s="32">
        <f t="shared" si="197"/>
        <v>146.4</v>
      </c>
      <c r="AM116" s="32">
        <f t="shared" si="197"/>
        <v>230.56</v>
      </c>
      <c r="AN116" s="32">
        <f t="shared" si="184"/>
        <v>2782.5</v>
      </c>
      <c r="AO116" s="32">
        <f t="shared" si="185"/>
        <v>1877.0383999999999</v>
      </c>
      <c r="AP116" s="99" t="s">
        <v>131</v>
      </c>
      <c r="AQ116" s="86"/>
      <c r="AR116" s="85">
        <f t="shared" si="163"/>
        <v>-916.86660000000029</v>
      </c>
      <c r="AS116" s="85">
        <f t="shared" si="164"/>
        <v>588.83369999999991</v>
      </c>
      <c r="AT116" s="113"/>
      <c r="AV116" s="105">
        <f t="shared" si="165"/>
        <v>588.83370000000036</v>
      </c>
      <c r="AX116" s="31"/>
      <c r="AY116" s="116"/>
      <c r="AZ116" s="118">
        <v>917.17859999999996</v>
      </c>
      <c r="BA116" s="118">
        <v>107.13159999999999</v>
      </c>
      <c r="BB116" s="118">
        <v>2</v>
      </c>
      <c r="BC116" s="118">
        <v>226.11686</v>
      </c>
      <c r="BD116" s="8"/>
      <c r="BE116" s="118">
        <f t="shared" si="157"/>
        <v>0</v>
      </c>
      <c r="BF116" s="118">
        <f t="shared" si="158"/>
        <v>466.58049999999997</v>
      </c>
      <c r="BG116" s="118">
        <f t="shared" si="159"/>
        <v>-1.8</v>
      </c>
      <c r="BH116" s="118">
        <f t="shared" si="160"/>
        <v>4.4431399999999996</v>
      </c>
      <c r="BI116" s="122">
        <f t="shared" si="161"/>
        <v>469.22363999999993</v>
      </c>
      <c r="BJ116" s="123"/>
      <c r="BK116" s="108"/>
      <c r="BM116" s="128">
        <f t="shared" si="145"/>
        <v>1899.2112</v>
      </c>
      <c r="BN116" s="129">
        <f t="shared" si="127"/>
        <v>-588.83369999999991</v>
      </c>
      <c r="CB116" s="75">
        <f t="shared" si="154"/>
        <v>2471.0335250010639</v>
      </c>
      <c r="CJ116" s="70">
        <f t="shared" si="162"/>
        <v>-2.5579538487363607E-13</v>
      </c>
      <c r="CL116" s="163"/>
      <c r="CM116" s="68"/>
      <c r="CN116" s="32">
        <f>SUM(CN117:CN140)</f>
        <v>1194.6999999999998</v>
      </c>
      <c r="CQ116" s="177">
        <f t="shared" si="155"/>
        <v>2211.6163000000001</v>
      </c>
      <c r="CR116" s="177">
        <f t="shared" si="156"/>
        <v>-570.88369999999986</v>
      </c>
    </row>
    <row r="117" spans="1:157" ht="38.25" customHeight="1" x14ac:dyDescent="0.3">
      <c r="A117" s="44" t="s">
        <v>525</v>
      </c>
      <c r="B117" s="51" t="s">
        <v>77</v>
      </c>
      <c r="C117" s="76" t="s">
        <v>112</v>
      </c>
      <c r="D117" s="20" t="s">
        <v>252</v>
      </c>
      <c r="E117" s="21" t="s">
        <v>487</v>
      </c>
      <c r="F117" s="21">
        <f t="shared" ref="F117:F129" si="198">IF(K117&gt;0,2018,IF(AC117&gt;0,2019,IF(AE117&gt;0,2020,IF(AG117&gt;0,2021,IF(AI117&gt;0,2022,IF(AK117&gt;0,2023,IF(AM117&gt;0,2024,"нд")))))))</f>
        <v>2019</v>
      </c>
      <c r="G117" s="46" t="str">
        <f t="shared" ref="G117:G129" si="199">IF(AND(L117-(K117+AB117+AD117+AF117+AH117+AJ117+AL117)&lt;0.1,L117-(K117+AB117+AD117+AF117+AH117+AJ117+AL117)&gt;0.00001),"Ошибка в -",IF((K117+AB117+AD117+AF117+AH117+AJ117+AL117)&gt;L117,"Ошибка в +",IF(L117&gt;(K117+AB117+AD117+AF117+AH117+AJ117+AL117),2025,IF(AL117&gt;0,2024,IF(AJ117&gt;0,2023,IF(AH117&gt;0,2022,IF(AF117&gt;0,2021,IF(AD117&gt;0,2020,IF(AB117&gt;0,2019,IF(K117&gt;0,2018,"нд"))))))))))</f>
        <v>Ошибка в +</v>
      </c>
      <c r="H117" s="46">
        <f t="shared" ref="H117:H129" si="200">IF(AND((Q117-(K117+AC117+AE117+AG117+AI117+AK117+AM117))&lt;0.1,Q117-(K117+AC117+AE117+AG117+AI117+AK117+AM117)&gt;0.0001),"Ошибка в -",IF((K117+AC117+AE117+AG117+AI117+AK117+AM117)&gt;Q117,"Ошибка в +",IF(Q117&gt;(K117+AC117+AE117+AG117+AI117+AK117+AM117),2025,IF(AM117&gt;0,2024,IF(AK117&gt;0,2023,IF(AI117&gt;0,2022,IF(AG117&gt;0,2021,IF(AE117&gt;0,2020,IF(AC117&gt;0,2019,IF(K117&gt;0,2018,"нд"))))))))))</f>
        <v>2020</v>
      </c>
      <c r="I117" s="22" t="s">
        <v>131</v>
      </c>
      <c r="J117" s="20">
        <v>129.483</v>
      </c>
      <c r="K117" s="20">
        <v>0</v>
      </c>
      <c r="L117" s="20">
        <f t="shared" si="176"/>
        <v>86.502800000000008</v>
      </c>
      <c r="M117" s="20">
        <v>6.0550000000000006</v>
      </c>
      <c r="N117" s="20">
        <v>74.39</v>
      </c>
      <c r="O117" s="20">
        <v>0</v>
      </c>
      <c r="P117" s="20">
        <f>6.055+0.0028</f>
        <v>6.0577999999999994</v>
      </c>
      <c r="Q117" s="20">
        <v>86.502800000000008</v>
      </c>
      <c r="R117" s="20">
        <f t="shared" ref="R117:R140" si="201">0.07*Q117</f>
        <v>6.0551960000000014</v>
      </c>
      <c r="S117" s="20">
        <f t="shared" ref="S117:S140" si="202">0.86*Q117</f>
        <v>74.392408000000003</v>
      </c>
      <c r="T117" s="20">
        <f t="shared" ref="T117:T140" si="203">0*Q117</f>
        <v>0</v>
      </c>
      <c r="U117" s="20">
        <f t="shared" ref="U117:U140" si="204">0.07*Q117</f>
        <v>6.0551960000000014</v>
      </c>
      <c r="V117" s="20">
        <v>0</v>
      </c>
      <c r="W117" s="20">
        <f t="shared" ref="W117:W140" si="205">L117-K117</f>
        <v>86.502800000000008</v>
      </c>
      <c r="X117" s="20"/>
      <c r="Y117" s="20">
        <f t="shared" ref="Y117:Y140" si="206">W117-(AB117+AD117+AF117)</f>
        <v>-48.466700000000003</v>
      </c>
      <c r="Z117" s="28"/>
      <c r="AA117" s="20">
        <f t="shared" ref="AA117:AA140" si="207">Q117-(K117+AC117+AE117+AG117)</f>
        <v>0</v>
      </c>
      <c r="AB117" s="20">
        <v>11.4695</v>
      </c>
      <c r="AC117" s="20">
        <v>11.4695</v>
      </c>
      <c r="AD117" s="174">
        <v>123.5</v>
      </c>
      <c r="AE117" s="20">
        <v>75.033299999999997</v>
      </c>
      <c r="AF117" s="20"/>
      <c r="AG117" s="20"/>
      <c r="AH117" s="20"/>
      <c r="AI117" s="20"/>
      <c r="AJ117" s="20"/>
      <c r="AK117" s="20"/>
      <c r="AL117" s="20"/>
      <c r="AM117" s="20"/>
      <c r="AN117" s="20">
        <f t="shared" si="184"/>
        <v>123.5</v>
      </c>
      <c r="AO117" s="20">
        <f t="shared" si="185"/>
        <v>75.033299999999997</v>
      </c>
      <c r="AP117" s="94"/>
      <c r="AQ117" s="86"/>
      <c r="AR117" s="85">
        <f t="shared" si="163"/>
        <v>-48.466700000000003</v>
      </c>
      <c r="AS117" s="85">
        <f t="shared" si="164"/>
        <v>0</v>
      </c>
      <c r="AT117" s="113">
        <f t="shared" si="166"/>
        <v>0</v>
      </c>
      <c r="AV117" s="105">
        <f t="shared" si="165"/>
        <v>1.4210854715202004E-14</v>
      </c>
      <c r="AX117" s="31">
        <f>J117-Q117</f>
        <v>42.980199999999996</v>
      </c>
      <c r="AY117" s="15"/>
      <c r="AZ117" s="118"/>
      <c r="BA117" s="118"/>
      <c r="BB117" s="118"/>
      <c r="BC117" s="118"/>
      <c r="BD117" s="8"/>
      <c r="BE117" s="118">
        <f t="shared" si="157"/>
        <v>0</v>
      </c>
      <c r="BF117" s="118">
        <f t="shared" si="158"/>
        <v>0</v>
      </c>
      <c r="BG117" s="118">
        <f t="shared" si="159"/>
        <v>0</v>
      </c>
      <c r="BH117" s="118">
        <f t="shared" si="160"/>
        <v>0</v>
      </c>
      <c r="BI117" s="122">
        <f t="shared" si="161"/>
        <v>0</v>
      </c>
      <c r="BJ117" s="118">
        <f t="shared" ref="BJ117:BJ140" si="208">(AO117+AC117+K117)-Q117</f>
        <v>0</v>
      </c>
      <c r="BK117" s="108">
        <v>2020</v>
      </c>
      <c r="BL117" s="8" t="b">
        <f t="shared" ref="BL117:BL140" si="209">EXACT(BK117,H117)</f>
        <v>1</v>
      </c>
      <c r="BM117" s="128">
        <f t="shared" si="145"/>
        <v>86.502799999999993</v>
      </c>
      <c r="BN117" s="129">
        <f t="shared" si="127"/>
        <v>0</v>
      </c>
      <c r="BR117" s="73">
        <f t="shared" ref="BR117:BR140" si="210">K117/$BR$15</f>
        <v>0</v>
      </c>
      <c r="BS117" s="73">
        <f t="shared" ref="BS117:BS140" si="211">AC117/$BS$15</f>
        <v>10.923333333333334</v>
      </c>
      <c r="BT117" s="73">
        <f t="shared" ref="BT117:BT126" si="212">AE117/$BT$15</f>
        <v>68.477461200764409</v>
      </c>
      <c r="BU117" s="73">
        <f t="shared" ref="BU117:BU126" si="213">AG117/$BU$15</f>
        <v>0</v>
      </c>
      <c r="BV117" s="73">
        <f t="shared" ref="BV117:BV126" si="214">AI117/$BV$15</f>
        <v>0</v>
      </c>
      <c r="BW117" s="73">
        <f t="shared" ref="BW117:BW126" si="215">AK117/$BW$15</f>
        <v>0</v>
      </c>
      <c r="BX117" s="73">
        <f t="shared" ref="BX117:BX126" si="216">AM117/$BX$15</f>
        <v>0</v>
      </c>
      <c r="BY117" s="73">
        <f t="shared" ref="BY117:BY126" si="217">(Q117-K117-AC117-AE117-AG117-AI117-AK117-AM117)/$BY$15</f>
        <v>1.0476368140840253E-14</v>
      </c>
      <c r="BZ117" s="74">
        <f t="shared" ref="BZ117:BZ126" si="218">SUM(BR117:BY117)*1.2</f>
        <v>95.280953440917301</v>
      </c>
      <c r="CB117" s="75">
        <f t="shared" si="154"/>
        <v>95.280953440917301</v>
      </c>
      <c r="CE117" s="8"/>
      <c r="CJ117" s="70">
        <f t="shared" si="162"/>
        <v>7.9936057773011271E-15</v>
      </c>
      <c r="CL117" s="163"/>
      <c r="CM117" s="68"/>
      <c r="CN117" s="20">
        <v>123.5</v>
      </c>
      <c r="CQ117" s="177">
        <f t="shared" si="155"/>
        <v>75.033299999999997</v>
      </c>
      <c r="CR117" s="177">
        <f t="shared" si="156"/>
        <v>-48.466700000000003</v>
      </c>
    </row>
    <row r="118" spans="1:157" ht="49.5" x14ac:dyDescent="0.3">
      <c r="A118" s="44" t="s">
        <v>525</v>
      </c>
      <c r="B118" s="51" t="s">
        <v>77</v>
      </c>
      <c r="C118" s="76" t="s">
        <v>146</v>
      </c>
      <c r="D118" s="20" t="s">
        <v>253</v>
      </c>
      <c r="E118" s="21" t="s">
        <v>181</v>
      </c>
      <c r="F118" s="21">
        <f t="shared" si="198"/>
        <v>2020</v>
      </c>
      <c r="G118" s="46" t="str">
        <f t="shared" si="199"/>
        <v>Ошибка в +</v>
      </c>
      <c r="H118" s="46">
        <f t="shared" si="200"/>
        <v>2025</v>
      </c>
      <c r="I118" s="22" t="s">
        <v>131</v>
      </c>
      <c r="J118" s="20" t="s">
        <v>131</v>
      </c>
      <c r="K118" s="20">
        <v>0</v>
      </c>
      <c r="L118" s="20">
        <f t="shared" si="176"/>
        <v>38.893999999999998</v>
      </c>
      <c r="M118" s="20">
        <v>2.7230000000000003</v>
      </c>
      <c r="N118" s="20">
        <v>33.454000000000001</v>
      </c>
      <c r="O118" s="20">
        <v>0</v>
      </c>
      <c r="P118" s="20">
        <f>2.723-0.006</f>
        <v>2.7170000000000001</v>
      </c>
      <c r="Q118" s="20">
        <v>38.893999999999998</v>
      </c>
      <c r="R118" s="20">
        <f t="shared" si="201"/>
        <v>2.7225800000000002</v>
      </c>
      <c r="S118" s="20">
        <f t="shared" si="202"/>
        <v>33.448839999999997</v>
      </c>
      <c r="T118" s="20">
        <f t="shared" si="203"/>
        <v>0</v>
      </c>
      <c r="U118" s="20">
        <f t="shared" si="204"/>
        <v>2.7225800000000002</v>
      </c>
      <c r="V118" s="20">
        <v>0</v>
      </c>
      <c r="W118" s="20">
        <f t="shared" si="205"/>
        <v>38.893999999999998</v>
      </c>
      <c r="X118" s="20"/>
      <c r="Y118" s="20">
        <f t="shared" si="206"/>
        <v>4.1439999999999984</v>
      </c>
      <c r="Z118" s="28"/>
      <c r="AA118" s="20">
        <f t="shared" si="207"/>
        <v>33.655499999999996</v>
      </c>
      <c r="AB118" s="20">
        <v>0</v>
      </c>
      <c r="AC118" s="20">
        <v>0</v>
      </c>
      <c r="AD118" s="174">
        <v>34</v>
      </c>
      <c r="AE118" s="20">
        <v>4.4939999999999998</v>
      </c>
      <c r="AF118" s="20">
        <v>0.75</v>
      </c>
      <c r="AG118" s="20">
        <v>0.74450000000000005</v>
      </c>
      <c r="AH118" s="20">
        <v>3.8499999999999996</v>
      </c>
      <c r="AI118" s="20"/>
      <c r="AJ118" s="20">
        <v>29.8</v>
      </c>
      <c r="AK118" s="20"/>
      <c r="AL118" s="20"/>
      <c r="AM118" s="20"/>
      <c r="AN118" s="20">
        <v>34</v>
      </c>
      <c r="AO118" s="20">
        <f t="shared" si="185"/>
        <v>5.2385000000000002</v>
      </c>
      <c r="AP118" s="94" t="s">
        <v>498</v>
      </c>
      <c r="AQ118" s="69"/>
      <c r="AR118" s="85">
        <f t="shared" si="163"/>
        <v>-29.506000000000007</v>
      </c>
      <c r="AS118" s="85">
        <f t="shared" si="164"/>
        <v>33.655499999999996</v>
      </c>
      <c r="AT118" s="113">
        <f t="shared" si="166"/>
        <v>0</v>
      </c>
      <c r="AV118" s="105">
        <f t="shared" si="165"/>
        <v>33.655499999999996</v>
      </c>
      <c r="AX118" s="31"/>
      <c r="AY118" s="15"/>
      <c r="AZ118" s="118">
        <v>0.74450000000000005</v>
      </c>
      <c r="BA118" s="118"/>
      <c r="BB118" s="118"/>
      <c r="BC118" s="118"/>
      <c r="BD118" s="8"/>
      <c r="BE118" s="118">
        <f t="shared" si="157"/>
        <v>0</v>
      </c>
      <c r="BF118" s="118">
        <f t="shared" si="158"/>
        <v>0</v>
      </c>
      <c r="BG118" s="118">
        <f t="shared" si="159"/>
        <v>0</v>
      </c>
      <c r="BH118" s="118">
        <f t="shared" si="160"/>
        <v>0</v>
      </c>
      <c r="BI118" s="122">
        <f t="shared" si="161"/>
        <v>0</v>
      </c>
      <c r="BJ118" s="125">
        <f t="shared" si="208"/>
        <v>-33.655499999999996</v>
      </c>
      <c r="BK118" s="108">
        <v>2025</v>
      </c>
      <c r="BL118" s="8" t="b">
        <f t="shared" si="209"/>
        <v>1</v>
      </c>
      <c r="BM118" s="128">
        <f t="shared" si="145"/>
        <v>5.2385000000000002</v>
      </c>
      <c r="BN118" s="129">
        <f t="shared" si="127"/>
        <v>-33.655499999999996</v>
      </c>
      <c r="BR118" s="73">
        <f t="shared" si="210"/>
        <v>0</v>
      </c>
      <c r="BS118" s="73">
        <f t="shared" si="211"/>
        <v>0</v>
      </c>
      <c r="BT118" s="73">
        <f t="shared" si="212"/>
        <v>4.1013484764262698</v>
      </c>
      <c r="BU118" s="73">
        <f t="shared" si="213"/>
        <v>0.65182863686681636</v>
      </c>
      <c r="BV118" s="73">
        <f t="shared" si="214"/>
        <v>0</v>
      </c>
      <c r="BW118" s="73">
        <f t="shared" si="215"/>
        <v>0</v>
      </c>
      <c r="BX118" s="73">
        <f t="shared" si="216"/>
        <v>0</v>
      </c>
      <c r="BY118" s="73">
        <f t="shared" si="217"/>
        <v>24.81113311128782</v>
      </c>
      <c r="BZ118" s="74">
        <f t="shared" si="218"/>
        <v>35.477172269497089</v>
      </c>
      <c r="CB118" s="75">
        <f t="shared" si="154"/>
        <v>35.477172269497089</v>
      </c>
      <c r="CE118" s="8"/>
      <c r="CJ118" s="70">
        <f t="shared" si="162"/>
        <v>0</v>
      </c>
      <c r="CL118" s="163"/>
      <c r="CM118" s="68"/>
      <c r="CN118" s="20">
        <v>34</v>
      </c>
      <c r="CQ118" s="177">
        <f t="shared" si="155"/>
        <v>38.888500000000001</v>
      </c>
      <c r="CR118" s="177">
        <f t="shared" si="156"/>
        <v>4.8885000000000005</v>
      </c>
    </row>
    <row r="119" spans="1:157" ht="35.25" customHeight="1" x14ac:dyDescent="0.3">
      <c r="A119" s="44" t="s">
        <v>525</v>
      </c>
      <c r="B119" s="51" t="s">
        <v>77</v>
      </c>
      <c r="C119" s="76" t="s">
        <v>194</v>
      </c>
      <c r="D119" s="20" t="s">
        <v>258</v>
      </c>
      <c r="E119" s="21" t="s">
        <v>181</v>
      </c>
      <c r="F119" s="21">
        <f t="shared" si="198"/>
        <v>2021</v>
      </c>
      <c r="G119" s="46" t="str">
        <f t="shared" si="199"/>
        <v>Ошибка в +</v>
      </c>
      <c r="H119" s="46">
        <f t="shared" si="200"/>
        <v>2024</v>
      </c>
      <c r="I119" s="22" t="s">
        <v>131</v>
      </c>
      <c r="J119" s="20" t="s">
        <v>131</v>
      </c>
      <c r="K119" s="20">
        <v>0</v>
      </c>
      <c r="L119" s="20">
        <f t="shared" si="176"/>
        <v>244.3</v>
      </c>
      <c r="M119" s="20">
        <v>17.101000000000003</v>
      </c>
      <c r="N119" s="20">
        <v>210.09800000000001</v>
      </c>
      <c r="O119" s="20">
        <v>0</v>
      </c>
      <c r="P119" s="20">
        <v>17.101000000000003</v>
      </c>
      <c r="Q119" s="20">
        <v>242.06309999999999</v>
      </c>
      <c r="R119" s="20">
        <f t="shared" si="201"/>
        <v>16.944417000000001</v>
      </c>
      <c r="S119" s="20">
        <f t="shared" si="202"/>
        <v>208.17426599999999</v>
      </c>
      <c r="T119" s="20">
        <f t="shared" si="203"/>
        <v>0</v>
      </c>
      <c r="U119" s="20">
        <f t="shared" si="204"/>
        <v>16.944417000000001</v>
      </c>
      <c r="V119" s="20">
        <v>0</v>
      </c>
      <c r="W119" s="20">
        <f t="shared" si="205"/>
        <v>244.3</v>
      </c>
      <c r="X119" s="20"/>
      <c r="Y119" s="20">
        <f t="shared" si="206"/>
        <v>217.4</v>
      </c>
      <c r="Z119" s="28"/>
      <c r="AA119" s="20">
        <f t="shared" si="207"/>
        <v>241.93049999999999</v>
      </c>
      <c r="AB119" s="20">
        <v>0</v>
      </c>
      <c r="AC119" s="20">
        <v>0</v>
      </c>
      <c r="AD119" s="174">
        <v>26.9</v>
      </c>
      <c r="AE119" s="20"/>
      <c r="AF119" s="20"/>
      <c r="AG119" s="20">
        <v>0.13259999999999997</v>
      </c>
      <c r="AH119" s="20">
        <v>244.3</v>
      </c>
      <c r="AI119" s="20">
        <v>11.170500000000001</v>
      </c>
      <c r="AJ119" s="20"/>
      <c r="AK119" s="20">
        <v>0.2</v>
      </c>
      <c r="AL119" s="20"/>
      <c r="AM119" s="20">
        <v>230.56</v>
      </c>
      <c r="AN119" s="20">
        <v>240.7</v>
      </c>
      <c r="AO119" s="20">
        <f t="shared" si="185"/>
        <v>242.06309999999999</v>
      </c>
      <c r="AP119" s="94"/>
      <c r="AQ119" s="86"/>
      <c r="AR119" s="85">
        <f t="shared" si="163"/>
        <v>-26.899999999999977</v>
      </c>
      <c r="AS119" s="85">
        <f t="shared" si="164"/>
        <v>0</v>
      </c>
      <c r="AT119" s="113">
        <f t="shared" si="166"/>
        <v>-2.2369000000000199</v>
      </c>
      <c r="AV119" s="105">
        <f t="shared" si="165"/>
        <v>0</v>
      </c>
      <c r="AX119" s="31"/>
      <c r="AY119" s="15"/>
      <c r="AZ119" s="118">
        <v>0.13259999999999997</v>
      </c>
      <c r="BA119" s="118">
        <v>13.11</v>
      </c>
      <c r="BB119" s="118">
        <v>2</v>
      </c>
      <c r="BC119" s="118">
        <v>226.11686</v>
      </c>
      <c r="BD119" s="8"/>
      <c r="BE119" s="118">
        <f t="shared" si="157"/>
        <v>0</v>
      </c>
      <c r="BF119" s="118">
        <f t="shared" si="158"/>
        <v>-1.9394999999999989</v>
      </c>
      <c r="BG119" s="118">
        <f t="shared" si="159"/>
        <v>-1.8</v>
      </c>
      <c r="BH119" s="118">
        <f t="shared" si="160"/>
        <v>4.4431399999999996</v>
      </c>
      <c r="BI119" s="122">
        <f t="shared" si="161"/>
        <v>0.70364000000000093</v>
      </c>
      <c r="BJ119" s="118">
        <f t="shared" si="208"/>
        <v>0</v>
      </c>
      <c r="BK119" s="108">
        <v>2024</v>
      </c>
      <c r="BL119" s="8" t="b">
        <f t="shared" si="209"/>
        <v>1</v>
      </c>
      <c r="BM119" s="128">
        <f t="shared" si="145"/>
        <v>242.06309999999999</v>
      </c>
      <c r="BN119" s="129">
        <f t="shared" si="127"/>
        <v>0</v>
      </c>
      <c r="BR119" s="73">
        <f t="shared" si="210"/>
        <v>0</v>
      </c>
      <c r="BS119" s="73">
        <f t="shared" si="211"/>
        <v>0</v>
      </c>
      <c r="BT119" s="73">
        <f t="shared" si="212"/>
        <v>0</v>
      </c>
      <c r="BU119" s="73">
        <f t="shared" si="213"/>
        <v>0.11609466386640674</v>
      </c>
      <c r="BV119" s="73">
        <f t="shared" si="214"/>
        <v>9.3750488480884187</v>
      </c>
      <c r="BW119" s="73">
        <f t="shared" si="215"/>
        <v>0.16079466711683429</v>
      </c>
      <c r="BX119" s="73">
        <f t="shared" si="216"/>
        <v>177.50069667576494</v>
      </c>
      <c r="BY119" s="73">
        <f t="shared" si="217"/>
        <v>0</v>
      </c>
      <c r="BZ119" s="74">
        <f t="shared" si="218"/>
        <v>224.58316182580393</v>
      </c>
      <c r="CB119" s="75">
        <f t="shared" si="154"/>
        <v>224.58316182580393</v>
      </c>
      <c r="CE119" s="8"/>
      <c r="CJ119" s="70">
        <f t="shared" si="162"/>
        <v>0</v>
      </c>
      <c r="CL119" s="163"/>
      <c r="CM119" s="68"/>
      <c r="CN119" s="20">
        <v>26.9</v>
      </c>
      <c r="CQ119" s="177">
        <f t="shared" si="155"/>
        <v>244.43260000000001</v>
      </c>
      <c r="CR119" s="177">
        <f t="shared" si="156"/>
        <v>3.7326000000000192</v>
      </c>
    </row>
    <row r="120" spans="1:157" s="40" customFormat="1" ht="38.25" customHeight="1" x14ac:dyDescent="0.3">
      <c r="A120" s="44" t="s">
        <v>525</v>
      </c>
      <c r="B120" s="51" t="s">
        <v>77</v>
      </c>
      <c r="C120" s="76" t="s">
        <v>540</v>
      </c>
      <c r="D120" s="26" t="s">
        <v>256</v>
      </c>
      <c r="E120" s="21" t="s">
        <v>181</v>
      </c>
      <c r="F120" s="21">
        <f t="shared" si="198"/>
        <v>2020</v>
      </c>
      <c r="G120" s="46">
        <f t="shared" si="199"/>
        <v>2025</v>
      </c>
      <c r="H120" s="46">
        <f t="shared" si="200"/>
        <v>2025</v>
      </c>
      <c r="I120" s="22" t="s">
        <v>131</v>
      </c>
      <c r="J120" s="20" t="s">
        <v>131</v>
      </c>
      <c r="K120" s="20">
        <v>0</v>
      </c>
      <c r="L120" s="20">
        <f t="shared" si="176"/>
        <v>124.1</v>
      </c>
      <c r="M120" s="20">
        <v>8.6870000000000012</v>
      </c>
      <c r="N120" s="20">
        <v>106.726</v>
      </c>
      <c r="O120" s="20">
        <v>0</v>
      </c>
      <c r="P120" s="20">
        <v>8.6870000000000012</v>
      </c>
      <c r="Q120" s="20">
        <v>124.1</v>
      </c>
      <c r="R120" s="20">
        <f t="shared" si="201"/>
        <v>8.6870000000000012</v>
      </c>
      <c r="S120" s="20">
        <f t="shared" si="202"/>
        <v>106.726</v>
      </c>
      <c r="T120" s="20">
        <f t="shared" si="203"/>
        <v>0</v>
      </c>
      <c r="U120" s="20">
        <f t="shared" si="204"/>
        <v>8.6870000000000012</v>
      </c>
      <c r="V120" s="20">
        <v>0</v>
      </c>
      <c r="W120" s="20">
        <f t="shared" si="205"/>
        <v>124.1</v>
      </c>
      <c r="X120" s="20"/>
      <c r="Y120" s="20">
        <f t="shared" si="206"/>
        <v>115.69999999999999</v>
      </c>
      <c r="Z120" s="28"/>
      <c r="AA120" s="20">
        <f t="shared" si="207"/>
        <v>122.44569999999999</v>
      </c>
      <c r="AB120" s="20">
        <v>0</v>
      </c>
      <c r="AC120" s="20">
        <v>0</v>
      </c>
      <c r="AD120" s="174">
        <v>8.4</v>
      </c>
      <c r="AE120" s="20">
        <v>1.6542999999999999</v>
      </c>
      <c r="AF120" s="20"/>
      <c r="AG120" s="20"/>
      <c r="AH120" s="20"/>
      <c r="AI120" s="20"/>
      <c r="AJ120" s="20"/>
      <c r="AK120" s="20"/>
      <c r="AL120" s="20"/>
      <c r="AM120" s="20"/>
      <c r="AN120" s="20">
        <f t="shared" si="184"/>
        <v>8.4</v>
      </c>
      <c r="AO120" s="20">
        <f t="shared" si="185"/>
        <v>1.6542999999999999</v>
      </c>
      <c r="AP120" s="94" t="s">
        <v>551</v>
      </c>
      <c r="AQ120" s="69"/>
      <c r="AR120" s="85">
        <f t="shared" si="163"/>
        <v>115.69999999999999</v>
      </c>
      <c r="AS120" s="85">
        <f t="shared" si="164"/>
        <v>122.44569999999999</v>
      </c>
      <c r="AT120" s="113">
        <f t="shared" si="166"/>
        <v>0</v>
      </c>
      <c r="AU120" s="41"/>
      <c r="AV120" s="105">
        <f t="shared" si="165"/>
        <v>122.44569999999999</v>
      </c>
      <c r="AW120" s="1"/>
      <c r="AX120" s="42"/>
      <c r="AY120" s="15"/>
      <c r="AZ120" s="118"/>
      <c r="BA120" s="118"/>
      <c r="BB120" s="118"/>
      <c r="BC120" s="118"/>
      <c r="BD120" s="8"/>
      <c r="BE120" s="118">
        <f t="shared" si="157"/>
        <v>0</v>
      </c>
      <c r="BF120" s="118">
        <f t="shared" si="158"/>
        <v>0</v>
      </c>
      <c r="BG120" s="118">
        <f t="shared" si="159"/>
        <v>0</v>
      </c>
      <c r="BH120" s="118">
        <f t="shared" si="160"/>
        <v>0</v>
      </c>
      <c r="BI120" s="122">
        <f t="shared" si="161"/>
        <v>0</v>
      </c>
      <c r="BJ120" s="125">
        <f t="shared" si="208"/>
        <v>-122.44569999999999</v>
      </c>
      <c r="BK120" s="109">
        <v>2025</v>
      </c>
      <c r="BL120" s="8" t="b">
        <f t="shared" si="209"/>
        <v>1</v>
      </c>
      <c r="BM120" s="128">
        <f t="shared" si="145"/>
        <v>1.6542999999999999</v>
      </c>
      <c r="BN120" s="129">
        <f t="shared" si="127"/>
        <v>-122.44569999999999</v>
      </c>
      <c r="BO120" s="41"/>
      <c r="BP120" s="41"/>
      <c r="BQ120" s="41"/>
      <c r="BR120" s="73">
        <f t="shared" si="210"/>
        <v>0</v>
      </c>
      <c r="BS120" s="73">
        <f t="shared" si="211"/>
        <v>0</v>
      </c>
      <c r="BT120" s="73">
        <f t="shared" si="212"/>
        <v>1.5097598541504178</v>
      </c>
      <c r="BU120" s="73">
        <f t="shared" si="213"/>
        <v>0</v>
      </c>
      <c r="BV120" s="73">
        <f t="shared" si="214"/>
        <v>0</v>
      </c>
      <c r="BW120" s="73">
        <f t="shared" si="215"/>
        <v>0</v>
      </c>
      <c r="BX120" s="73">
        <f t="shared" si="216"/>
        <v>0</v>
      </c>
      <c r="BY120" s="73">
        <f t="shared" si="217"/>
        <v>90.268056086072562</v>
      </c>
      <c r="BZ120" s="74">
        <f t="shared" si="218"/>
        <v>110.13337912826758</v>
      </c>
      <c r="CA120" s="41"/>
      <c r="CB120" s="75">
        <f t="shared" si="154"/>
        <v>110.13337912826758</v>
      </c>
      <c r="CC120" s="41"/>
      <c r="CD120" s="41"/>
      <c r="CE120" s="8"/>
      <c r="CF120" s="41"/>
      <c r="CG120" s="41"/>
      <c r="CH120" s="41"/>
      <c r="CI120" s="41"/>
      <c r="CJ120" s="70">
        <f t="shared" si="162"/>
        <v>0</v>
      </c>
      <c r="CK120" s="43"/>
      <c r="CL120" s="163"/>
      <c r="CM120" s="68"/>
      <c r="CN120" s="20">
        <v>8.4</v>
      </c>
      <c r="CO120" s="41"/>
      <c r="CP120" s="41"/>
      <c r="CQ120" s="177">
        <f t="shared" si="155"/>
        <v>1.6542999999999999</v>
      </c>
      <c r="CR120" s="177">
        <f t="shared" si="156"/>
        <v>-6.7457000000000003</v>
      </c>
      <c r="CS120" s="41"/>
      <c r="CT120" s="41"/>
      <c r="CU120" s="41"/>
      <c r="CV120" s="41"/>
      <c r="CW120" s="41"/>
      <c r="CX120" s="41"/>
      <c r="CY120" s="41"/>
      <c r="CZ120" s="41"/>
      <c r="DA120" s="41"/>
      <c r="DB120" s="41"/>
      <c r="DC120" s="41"/>
      <c r="DD120" s="41"/>
      <c r="DE120" s="41"/>
      <c r="DF120" s="41"/>
      <c r="DG120" s="41"/>
      <c r="DH120" s="41"/>
      <c r="DI120" s="41"/>
      <c r="DJ120" s="41"/>
      <c r="DK120" s="41"/>
      <c r="DL120" s="41"/>
      <c r="DM120" s="41"/>
      <c r="DN120" s="41"/>
      <c r="DO120" s="41"/>
      <c r="DP120" s="41"/>
      <c r="DQ120" s="41"/>
      <c r="DR120" s="41"/>
      <c r="DS120" s="41"/>
      <c r="DT120" s="41"/>
      <c r="DU120" s="41"/>
      <c r="DV120" s="41"/>
      <c r="DW120" s="41"/>
      <c r="DX120" s="41"/>
      <c r="DY120" s="41"/>
      <c r="DZ120" s="41"/>
      <c r="EA120" s="41"/>
      <c r="EB120" s="41"/>
      <c r="EC120" s="41"/>
      <c r="ED120" s="41"/>
      <c r="EE120" s="41"/>
      <c r="EF120" s="41"/>
      <c r="EG120" s="41"/>
      <c r="EH120" s="41"/>
      <c r="EI120" s="41"/>
      <c r="EJ120" s="41"/>
      <c r="EK120" s="41"/>
      <c r="EL120" s="41"/>
      <c r="EM120" s="41"/>
      <c r="EN120" s="41"/>
      <c r="EO120" s="41"/>
      <c r="EP120" s="41"/>
      <c r="EQ120" s="41"/>
      <c r="ER120" s="41"/>
      <c r="ES120" s="41"/>
      <c r="ET120" s="41"/>
      <c r="EU120" s="41"/>
      <c r="EV120" s="41"/>
      <c r="EW120" s="41"/>
      <c r="EX120" s="41"/>
      <c r="EY120" s="41"/>
      <c r="EZ120" s="41"/>
      <c r="FA120" s="41"/>
    </row>
    <row r="121" spans="1:157" ht="49.5" x14ac:dyDescent="0.3">
      <c r="A121" s="44" t="s">
        <v>525</v>
      </c>
      <c r="B121" s="51" t="s">
        <v>77</v>
      </c>
      <c r="C121" s="76" t="s">
        <v>171</v>
      </c>
      <c r="D121" s="20" t="s">
        <v>260</v>
      </c>
      <c r="E121" s="21" t="s">
        <v>181</v>
      </c>
      <c r="F121" s="21">
        <f t="shared" si="198"/>
        <v>2020</v>
      </c>
      <c r="G121" s="46" t="str">
        <f t="shared" si="199"/>
        <v>Ошибка в +</v>
      </c>
      <c r="H121" s="46">
        <f t="shared" si="200"/>
        <v>2025</v>
      </c>
      <c r="I121" s="22" t="s">
        <v>131</v>
      </c>
      <c r="J121" s="20" t="s">
        <v>131</v>
      </c>
      <c r="K121" s="20">
        <v>0</v>
      </c>
      <c r="L121" s="20">
        <f t="shared" si="176"/>
        <v>73.42</v>
      </c>
      <c r="M121" s="20">
        <v>5.1380000000000008</v>
      </c>
      <c r="N121" s="20">
        <v>63.124000000000002</v>
      </c>
      <c r="O121" s="20">
        <v>0</v>
      </c>
      <c r="P121" s="20">
        <f>5.138+0.02</f>
        <v>5.1579999999999995</v>
      </c>
      <c r="Q121" s="20">
        <v>73.42</v>
      </c>
      <c r="R121" s="20">
        <f t="shared" si="201"/>
        <v>5.1394000000000002</v>
      </c>
      <c r="S121" s="20">
        <f t="shared" si="202"/>
        <v>63.141199999999998</v>
      </c>
      <c r="T121" s="20">
        <f t="shared" si="203"/>
        <v>0</v>
      </c>
      <c r="U121" s="20">
        <f t="shared" si="204"/>
        <v>5.1394000000000002</v>
      </c>
      <c r="V121" s="20">
        <v>0</v>
      </c>
      <c r="W121" s="20">
        <f t="shared" si="205"/>
        <v>73.42</v>
      </c>
      <c r="X121" s="20"/>
      <c r="Y121" s="20">
        <f t="shared" si="206"/>
        <v>0.82000000000000739</v>
      </c>
      <c r="Z121" s="28"/>
      <c r="AA121" s="20">
        <f t="shared" si="207"/>
        <v>68.2</v>
      </c>
      <c r="AB121" s="20">
        <v>0</v>
      </c>
      <c r="AC121" s="20">
        <v>0</v>
      </c>
      <c r="AD121" s="174">
        <v>72.599999999999994</v>
      </c>
      <c r="AE121" s="20">
        <v>5.22</v>
      </c>
      <c r="AF121" s="20"/>
      <c r="AG121" s="20"/>
      <c r="AH121" s="20"/>
      <c r="AI121" s="20"/>
      <c r="AJ121" s="20">
        <v>68.2</v>
      </c>
      <c r="AK121" s="20"/>
      <c r="AL121" s="20"/>
      <c r="AM121" s="20"/>
      <c r="AN121" s="20">
        <v>72.599999999999994</v>
      </c>
      <c r="AO121" s="20">
        <f t="shared" si="185"/>
        <v>5.22</v>
      </c>
      <c r="AP121" s="94" t="s">
        <v>498</v>
      </c>
      <c r="AQ121" s="86"/>
      <c r="AR121" s="85">
        <f t="shared" si="163"/>
        <v>-67.38000000000001</v>
      </c>
      <c r="AS121" s="85">
        <f t="shared" si="164"/>
        <v>68.2</v>
      </c>
      <c r="AT121" s="113">
        <f t="shared" si="166"/>
        <v>0</v>
      </c>
      <c r="AV121" s="105">
        <f t="shared" si="165"/>
        <v>68.2</v>
      </c>
      <c r="AX121" s="31"/>
      <c r="AY121" s="43"/>
      <c r="AZ121" s="118"/>
      <c r="BA121" s="118"/>
      <c r="BB121" s="118"/>
      <c r="BC121" s="118"/>
      <c r="BD121" s="8"/>
      <c r="BE121" s="118">
        <f t="shared" si="157"/>
        <v>0</v>
      </c>
      <c r="BF121" s="118">
        <f t="shared" si="158"/>
        <v>0</v>
      </c>
      <c r="BG121" s="118">
        <f t="shared" si="159"/>
        <v>0</v>
      </c>
      <c r="BH121" s="118">
        <f t="shared" si="160"/>
        <v>0</v>
      </c>
      <c r="BI121" s="122">
        <f t="shared" si="161"/>
        <v>0</v>
      </c>
      <c r="BJ121" s="125">
        <f t="shared" si="208"/>
        <v>-68.2</v>
      </c>
      <c r="BK121" s="108">
        <v>2025</v>
      </c>
      <c r="BL121" s="8" t="b">
        <f t="shared" si="209"/>
        <v>1</v>
      </c>
      <c r="BM121" s="128">
        <f t="shared" si="145"/>
        <v>5.22</v>
      </c>
      <c r="BN121" s="129">
        <f t="shared" si="127"/>
        <v>-68.2</v>
      </c>
      <c r="BR121" s="73">
        <f t="shared" si="210"/>
        <v>0</v>
      </c>
      <c r="BS121" s="73">
        <f t="shared" si="211"/>
        <v>0</v>
      </c>
      <c r="BT121" s="73">
        <f t="shared" si="212"/>
        <v>4.7639161208155603</v>
      </c>
      <c r="BU121" s="73">
        <f t="shared" si="213"/>
        <v>0</v>
      </c>
      <c r="BV121" s="73">
        <f t="shared" si="214"/>
        <v>0</v>
      </c>
      <c r="BW121" s="73">
        <f t="shared" si="215"/>
        <v>0</v>
      </c>
      <c r="BX121" s="73">
        <f t="shared" si="216"/>
        <v>0</v>
      </c>
      <c r="BY121" s="73">
        <f t="shared" si="217"/>
        <v>50.277644907662328</v>
      </c>
      <c r="BZ121" s="74">
        <f t="shared" si="218"/>
        <v>66.049873234173461</v>
      </c>
      <c r="CB121" s="75">
        <f t="shared" si="154"/>
        <v>66.049873234173461</v>
      </c>
      <c r="CE121" s="8"/>
      <c r="CJ121" s="70">
        <f t="shared" si="162"/>
        <v>8.8817841970012523E-15</v>
      </c>
      <c r="CL121" s="163"/>
      <c r="CM121" s="68"/>
      <c r="CN121" s="20">
        <v>72.599999999999994</v>
      </c>
      <c r="CQ121" s="177">
        <f t="shared" si="155"/>
        <v>73.42</v>
      </c>
      <c r="CR121" s="177">
        <f t="shared" si="156"/>
        <v>0.82000000000000739</v>
      </c>
    </row>
    <row r="122" spans="1:157" ht="49.5" x14ac:dyDescent="0.3">
      <c r="A122" s="44" t="s">
        <v>525</v>
      </c>
      <c r="B122" s="51" t="s">
        <v>77</v>
      </c>
      <c r="C122" s="76" t="s">
        <v>196</v>
      </c>
      <c r="D122" s="20" t="s">
        <v>261</v>
      </c>
      <c r="E122" s="21" t="s">
        <v>181</v>
      </c>
      <c r="F122" s="21">
        <f t="shared" si="198"/>
        <v>2020</v>
      </c>
      <c r="G122" s="46" t="str">
        <f t="shared" si="199"/>
        <v>Ошибка в +</v>
      </c>
      <c r="H122" s="46">
        <f t="shared" si="200"/>
        <v>2025</v>
      </c>
      <c r="I122" s="22" t="s">
        <v>131</v>
      </c>
      <c r="J122" s="20" t="s">
        <v>131</v>
      </c>
      <c r="K122" s="20">
        <v>0</v>
      </c>
      <c r="L122" s="20">
        <f t="shared" si="176"/>
        <v>82.220000000000013</v>
      </c>
      <c r="M122" s="20">
        <v>5.7540000000000004</v>
      </c>
      <c r="N122" s="20">
        <v>70.692000000000007</v>
      </c>
      <c r="O122" s="20">
        <v>0</v>
      </c>
      <c r="P122" s="20">
        <f>5.754+0.02</f>
        <v>5.7739999999999991</v>
      </c>
      <c r="Q122" s="20">
        <v>82.220000000000013</v>
      </c>
      <c r="R122" s="20">
        <f t="shared" si="201"/>
        <v>5.7554000000000016</v>
      </c>
      <c r="S122" s="20">
        <f t="shared" si="202"/>
        <v>70.70920000000001</v>
      </c>
      <c r="T122" s="20">
        <f t="shared" si="203"/>
        <v>0</v>
      </c>
      <c r="U122" s="20">
        <f t="shared" si="204"/>
        <v>5.7554000000000016</v>
      </c>
      <c r="V122" s="20">
        <v>0</v>
      </c>
      <c r="W122" s="20">
        <f t="shared" si="205"/>
        <v>82.220000000000013</v>
      </c>
      <c r="X122" s="20"/>
      <c r="Y122" s="20">
        <f t="shared" si="206"/>
        <v>-0.47999999999998977</v>
      </c>
      <c r="Z122" s="28"/>
      <c r="AA122" s="20">
        <f t="shared" si="207"/>
        <v>77.000000000000014</v>
      </c>
      <c r="AB122" s="20">
        <v>0</v>
      </c>
      <c r="AC122" s="20">
        <v>0</v>
      </c>
      <c r="AD122" s="174">
        <v>82.7</v>
      </c>
      <c r="AE122" s="20">
        <v>5.22</v>
      </c>
      <c r="AF122" s="20"/>
      <c r="AG122" s="20"/>
      <c r="AH122" s="20"/>
      <c r="AI122" s="20"/>
      <c r="AJ122" s="20">
        <v>77</v>
      </c>
      <c r="AK122" s="20"/>
      <c r="AL122" s="20"/>
      <c r="AM122" s="20"/>
      <c r="AN122" s="20">
        <v>82.7</v>
      </c>
      <c r="AO122" s="20">
        <f t="shared" si="185"/>
        <v>5.22</v>
      </c>
      <c r="AP122" s="94" t="s">
        <v>498</v>
      </c>
      <c r="AQ122" s="86"/>
      <c r="AR122" s="85">
        <f t="shared" si="163"/>
        <v>-77.479999999999976</v>
      </c>
      <c r="AS122" s="85">
        <f t="shared" si="164"/>
        <v>77.000000000000014</v>
      </c>
      <c r="AT122" s="113">
        <f t="shared" si="166"/>
        <v>0</v>
      </c>
      <c r="AV122" s="105">
        <f t="shared" si="165"/>
        <v>77.000000000000014</v>
      </c>
      <c r="AX122" s="31"/>
      <c r="AY122" s="15"/>
      <c r="AZ122" s="118"/>
      <c r="BA122" s="118"/>
      <c r="BB122" s="118"/>
      <c r="BC122" s="118"/>
      <c r="BD122" s="8"/>
      <c r="BE122" s="118">
        <f t="shared" si="157"/>
        <v>0</v>
      </c>
      <c r="BF122" s="118">
        <f t="shared" si="158"/>
        <v>0</v>
      </c>
      <c r="BG122" s="118">
        <f t="shared" si="159"/>
        <v>0</v>
      </c>
      <c r="BH122" s="118">
        <f t="shared" si="160"/>
        <v>0</v>
      </c>
      <c r="BI122" s="122">
        <f t="shared" si="161"/>
        <v>0</v>
      </c>
      <c r="BJ122" s="125">
        <f t="shared" si="208"/>
        <v>-77.000000000000014</v>
      </c>
      <c r="BK122" s="108">
        <v>2025</v>
      </c>
      <c r="BL122" s="8" t="b">
        <f t="shared" si="209"/>
        <v>1</v>
      </c>
      <c r="BM122" s="128">
        <f t="shared" si="145"/>
        <v>5.22</v>
      </c>
      <c r="BN122" s="129">
        <f t="shared" si="127"/>
        <v>-77.000000000000014</v>
      </c>
      <c r="BR122" s="73">
        <f t="shared" si="210"/>
        <v>0</v>
      </c>
      <c r="BS122" s="73">
        <f t="shared" si="211"/>
        <v>0</v>
      </c>
      <c r="BT122" s="73">
        <f t="shared" si="212"/>
        <v>4.7639161208155603</v>
      </c>
      <c r="BU122" s="73">
        <f t="shared" si="213"/>
        <v>0</v>
      </c>
      <c r="BV122" s="73">
        <f t="shared" si="214"/>
        <v>0</v>
      </c>
      <c r="BW122" s="73">
        <f t="shared" si="215"/>
        <v>0</v>
      </c>
      <c r="BX122" s="73">
        <f t="shared" si="216"/>
        <v>0</v>
      </c>
      <c r="BY122" s="73">
        <f t="shared" si="217"/>
        <v>56.765082960263932</v>
      </c>
      <c r="BZ122" s="74">
        <f t="shared" si="218"/>
        <v>73.834798897295386</v>
      </c>
      <c r="CB122" s="75">
        <f t="shared" si="154"/>
        <v>73.834798897295386</v>
      </c>
      <c r="CE122" s="8"/>
      <c r="CJ122" s="70">
        <f t="shared" si="162"/>
        <v>7.1054273576010019E-15</v>
      </c>
      <c r="CL122" s="163"/>
      <c r="CM122" s="68"/>
      <c r="CN122" s="20">
        <v>82.7</v>
      </c>
      <c r="CQ122" s="177">
        <f t="shared" si="155"/>
        <v>82.22</v>
      </c>
      <c r="CR122" s="177">
        <f t="shared" si="156"/>
        <v>-0.48000000000000398</v>
      </c>
    </row>
    <row r="123" spans="1:157" ht="30" customHeight="1" x14ac:dyDescent="0.3">
      <c r="B123" s="51" t="s">
        <v>77</v>
      </c>
      <c r="C123" s="78" t="s">
        <v>370</v>
      </c>
      <c r="D123" s="28" t="s">
        <v>131</v>
      </c>
      <c r="E123" s="21" t="s">
        <v>487</v>
      </c>
      <c r="F123" s="21">
        <f t="shared" si="198"/>
        <v>2020</v>
      </c>
      <c r="G123" s="46">
        <f t="shared" si="199"/>
        <v>2025</v>
      </c>
      <c r="H123" s="46">
        <f t="shared" si="200"/>
        <v>2020</v>
      </c>
      <c r="I123" s="22" t="s">
        <v>131</v>
      </c>
      <c r="J123" s="20">
        <f>Q123</f>
        <v>6.6999999999999993</v>
      </c>
      <c r="K123" s="20">
        <v>0</v>
      </c>
      <c r="L123" s="20">
        <f t="shared" si="176"/>
        <v>6.6999999999999993</v>
      </c>
      <c r="M123" s="20">
        <v>0.47040700000000008</v>
      </c>
      <c r="N123" s="20">
        <v>5.7792859999999999</v>
      </c>
      <c r="O123" s="20">
        <v>0</v>
      </c>
      <c r="P123" s="20">
        <f>0.470407-0.0201</f>
        <v>0.45030700000000001</v>
      </c>
      <c r="Q123" s="20">
        <v>6.6999999999999993</v>
      </c>
      <c r="R123" s="20">
        <f t="shared" si="201"/>
        <v>0.46899999999999997</v>
      </c>
      <c r="S123" s="20">
        <f t="shared" si="202"/>
        <v>5.7619999999999996</v>
      </c>
      <c r="T123" s="20">
        <f t="shared" si="203"/>
        <v>0</v>
      </c>
      <c r="U123" s="20">
        <f t="shared" si="204"/>
        <v>0.46899999999999997</v>
      </c>
      <c r="V123" s="20">
        <v>0</v>
      </c>
      <c r="W123" s="20">
        <f t="shared" si="205"/>
        <v>6.6999999999999993</v>
      </c>
      <c r="X123" s="20"/>
      <c r="Y123" s="20">
        <f t="shared" si="206"/>
        <v>6.6999999999999993</v>
      </c>
      <c r="Z123" s="28"/>
      <c r="AA123" s="20">
        <f t="shared" si="207"/>
        <v>0</v>
      </c>
      <c r="AB123" s="20">
        <v>0</v>
      </c>
      <c r="AC123" s="20">
        <v>0</v>
      </c>
      <c r="AD123" s="174">
        <v>0</v>
      </c>
      <c r="AE123" s="20">
        <v>6.7</v>
      </c>
      <c r="AF123" s="20"/>
      <c r="AG123" s="20"/>
      <c r="AH123" s="20"/>
      <c r="AI123" s="20"/>
      <c r="AJ123" s="20"/>
      <c r="AK123" s="20"/>
      <c r="AL123" s="20"/>
      <c r="AM123" s="20"/>
      <c r="AN123" s="20">
        <f t="shared" si="184"/>
        <v>0</v>
      </c>
      <c r="AO123" s="20">
        <f t="shared" si="185"/>
        <v>6.7</v>
      </c>
      <c r="AP123" s="94"/>
      <c r="AQ123" s="69"/>
      <c r="AR123" s="85">
        <f t="shared" si="163"/>
        <v>6.6999999999999993</v>
      </c>
      <c r="AS123" s="85">
        <f t="shared" si="164"/>
        <v>0</v>
      </c>
      <c r="AT123" s="113">
        <f t="shared" si="166"/>
        <v>0</v>
      </c>
      <c r="AV123" s="105">
        <f t="shared" si="165"/>
        <v>-8.8817841970012523E-16</v>
      </c>
      <c r="AX123" s="31">
        <f>J123-Q123</f>
        <v>0</v>
      </c>
      <c r="AY123" s="15"/>
      <c r="AZ123" s="118"/>
      <c r="BA123" s="118"/>
      <c r="BB123" s="118"/>
      <c r="BC123" s="118"/>
      <c r="BD123" s="8"/>
      <c r="BE123" s="118">
        <f t="shared" si="157"/>
        <v>0</v>
      </c>
      <c r="BF123" s="118">
        <f t="shared" si="158"/>
        <v>0</v>
      </c>
      <c r="BG123" s="118">
        <f t="shared" si="159"/>
        <v>0</v>
      </c>
      <c r="BH123" s="118">
        <f t="shared" si="160"/>
        <v>0</v>
      </c>
      <c r="BI123" s="122">
        <f t="shared" si="161"/>
        <v>0</v>
      </c>
      <c r="BJ123" s="118">
        <f t="shared" si="208"/>
        <v>0</v>
      </c>
      <c r="BK123" s="108">
        <v>2020</v>
      </c>
      <c r="BL123" s="8" t="b">
        <f t="shared" si="209"/>
        <v>1</v>
      </c>
      <c r="BM123" s="128">
        <f t="shared" si="145"/>
        <v>6.7</v>
      </c>
      <c r="BN123" s="129">
        <f t="shared" si="127"/>
        <v>0</v>
      </c>
      <c r="BR123" s="73">
        <f t="shared" si="210"/>
        <v>0</v>
      </c>
      <c r="BS123" s="73">
        <f t="shared" si="211"/>
        <v>0</v>
      </c>
      <c r="BT123" s="73">
        <f t="shared" si="212"/>
        <v>6.1146049826559876</v>
      </c>
      <c r="BU123" s="73">
        <f t="shared" si="213"/>
        <v>0</v>
      </c>
      <c r="BV123" s="73">
        <f t="shared" si="214"/>
        <v>0</v>
      </c>
      <c r="BW123" s="73">
        <f t="shared" si="215"/>
        <v>0</v>
      </c>
      <c r="BX123" s="73">
        <f t="shared" si="216"/>
        <v>0</v>
      </c>
      <c r="BY123" s="73">
        <f t="shared" si="217"/>
        <v>-6.5477300880251579E-16</v>
      </c>
      <c r="BZ123" s="74">
        <f t="shared" si="218"/>
        <v>7.3375259791871841</v>
      </c>
      <c r="CB123" s="75">
        <f t="shared" si="154"/>
        <v>7.3375259791871841</v>
      </c>
      <c r="CE123" s="8"/>
      <c r="CJ123" s="70">
        <f t="shared" si="162"/>
        <v>-5.5511151231257827E-16</v>
      </c>
      <c r="CL123" s="163"/>
      <c r="CM123" s="68"/>
      <c r="CN123" s="20"/>
      <c r="CQ123" s="177">
        <f t="shared" si="155"/>
        <v>6.7</v>
      </c>
      <c r="CR123" s="177">
        <f t="shared" si="156"/>
        <v>6.7</v>
      </c>
    </row>
    <row r="124" spans="1:157" ht="23.25" customHeight="1" x14ac:dyDescent="0.3">
      <c r="A124" s="44" t="s">
        <v>525</v>
      </c>
      <c r="B124" s="51" t="s">
        <v>77</v>
      </c>
      <c r="C124" s="78" t="s">
        <v>429</v>
      </c>
      <c r="D124" s="20" t="s">
        <v>437</v>
      </c>
      <c r="E124" s="21" t="s">
        <v>181</v>
      </c>
      <c r="F124" s="21">
        <f t="shared" si="198"/>
        <v>2021</v>
      </c>
      <c r="G124" s="46">
        <f t="shared" si="199"/>
        <v>2022</v>
      </c>
      <c r="H124" s="46">
        <f t="shared" si="200"/>
        <v>2025</v>
      </c>
      <c r="I124" s="22" t="s">
        <v>131</v>
      </c>
      <c r="J124" s="20" t="s">
        <v>131</v>
      </c>
      <c r="K124" s="20">
        <v>0</v>
      </c>
      <c r="L124" s="20">
        <f t="shared" si="176"/>
        <v>75.199999999999989</v>
      </c>
      <c r="M124" s="20">
        <v>5.2640000000000011</v>
      </c>
      <c r="N124" s="20">
        <v>64.671999999999997</v>
      </c>
      <c r="O124" s="20">
        <v>0</v>
      </c>
      <c r="P124" s="20">
        <v>5.2640000000000011</v>
      </c>
      <c r="Q124" s="20">
        <v>75.199999999999989</v>
      </c>
      <c r="R124" s="20">
        <f t="shared" si="201"/>
        <v>5.2639999999999993</v>
      </c>
      <c r="S124" s="20">
        <f t="shared" si="202"/>
        <v>64.671999999999983</v>
      </c>
      <c r="T124" s="20">
        <f t="shared" si="203"/>
        <v>0</v>
      </c>
      <c r="U124" s="20">
        <f t="shared" si="204"/>
        <v>5.2639999999999993</v>
      </c>
      <c r="V124" s="20">
        <v>0</v>
      </c>
      <c r="W124" s="20">
        <f t="shared" si="205"/>
        <v>75.199999999999989</v>
      </c>
      <c r="X124" s="20"/>
      <c r="Y124" s="20">
        <f t="shared" si="206"/>
        <v>75.199999999999989</v>
      </c>
      <c r="Z124" s="28"/>
      <c r="AA124" s="20">
        <f t="shared" si="207"/>
        <v>74.43249999999999</v>
      </c>
      <c r="AB124" s="20">
        <v>0</v>
      </c>
      <c r="AC124" s="20">
        <v>0</v>
      </c>
      <c r="AD124" s="20">
        <v>0</v>
      </c>
      <c r="AE124" s="20"/>
      <c r="AF124" s="20"/>
      <c r="AG124" s="20">
        <v>0.76749999999999996</v>
      </c>
      <c r="AH124" s="20">
        <v>75.2</v>
      </c>
      <c r="AI124" s="20"/>
      <c r="AJ124" s="20"/>
      <c r="AK124" s="20"/>
      <c r="AL124" s="20"/>
      <c r="AM124" s="20"/>
      <c r="AN124" s="20">
        <f t="shared" si="184"/>
        <v>75.2</v>
      </c>
      <c r="AO124" s="20">
        <f t="shared" si="185"/>
        <v>0.76749999999999996</v>
      </c>
      <c r="AP124" s="94" t="s">
        <v>551</v>
      </c>
      <c r="AQ124" s="86"/>
      <c r="AR124" s="85">
        <f t="shared" si="163"/>
        <v>0</v>
      </c>
      <c r="AS124" s="85">
        <f t="shared" si="164"/>
        <v>74.43249999999999</v>
      </c>
      <c r="AT124" s="113">
        <f t="shared" si="166"/>
        <v>0</v>
      </c>
      <c r="AV124" s="105">
        <f t="shared" si="165"/>
        <v>74.43249999999999</v>
      </c>
      <c r="AX124" s="31"/>
      <c r="AY124" s="15"/>
      <c r="AZ124" s="118">
        <v>0.76749999999999996</v>
      </c>
      <c r="BA124" s="118"/>
      <c r="BB124" s="118"/>
      <c r="BC124" s="118"/>
      <c r="BD124" s="8"/>
      <c r="BE124" s="118">
        <f t="shared" si="157"/>
        <v>0</v>
      </c>
      <c r="BF124" s="118">
        <f t="shared" si="158"/>
        <v>0</v>
      </c>
      <c r="BG124" s="118">
        <f t="shared" si="159"/>
        <v>0</v>
      </c>
      <c r="BH124" s="118">
        <f t="shared" si="160"/>
        <v>0</v>
      </c>
      <c r="BI124" s="122">
        <f t="shared" si="161"/>
        <v>0</v>
      </c>
      <c r="BJ124" s="125">
        <f t="shared" si="208"/>
        <v>-74.43249999999999</v>
      </c>
      <c r="BK124" s="108">
        <v>2025</v>
      </c>
      <c r="BL124" s="8" t="b">
        <f t="shared" si="209"/>
        <v>1</v>
      </c>
      <c r="BM124" s="128">
        <f t="shared" si="145"/>
        <v>0.76749999999999996</v>
      </c>
      <c r="BN124" s="129">
        <f t="shared" si="127"/>
        <v>-74.43249999999999</v>
      </c>
      <c r="BR124" s="73">
        <f t="shared" si="210"/>
        <v>0</v>
      </c>
      <c r="BS124" s="73">
        <f t="shared" si="211"/>
        <v>0</v>
      </c>
      <c r="BT124" s="73">
        <f t="shared" si="212"/>
        <v>0</v>
      </c>
      <c r="BU124" s="73">
        <f t="shared" si="213"/>
        <v>0.67196572034288982</v>
      </c>
      <c r="BV124" s="73">
        <f t="shared" si="214"/>
        <v>0</v>
      </c>
      <c r="BW124" s="73">
        <f t="shared" si="215"/>
        <v>0</v>
      </c>
      <c r="BX124" s="73">
        <f t="shared" si="216"/>
        <v>0</v>
      </c>
      <c r="BY124" s="73">
        <f t="shared" si="217"/>
        <v>54.872299187530437</v>
      </c>
      <c r="BZ124" s="74">
        <f t="shared" si="218"/>
        <v>66.653117889447984</v>
      </c>
      <c r="CB124" s="75">
        <f t="shared" si="154"/>
        <v>66.653117889447984</v>
      </c>
      <c r="CE124" s="8"/>
      <c r="CJ124" s="70">
        <f t="shared" si="162"/>
        <v>1.0658141036401503E-14</v>
      </c>
      <c r="CL124" s="163"/>
      <c r="CM124" s="68"/>
      <c r="CN124" s="20"/>
      <c r="CQ124" s="177">
        <f t="shared" si="155"/>
        <v>75.967500000000001</v>
      </c>
      <c r="CR124" s="177">
        <f t="shared" si="156"/>
        <v>0.76749999999999829</v>
      </c>
    </row>
    <row r="125" spans="1:157" ht="33" x14ac:dyDescent="0.3">
      <c r="A125" s="44" t="s">
        <v>525</v>
      </c>
      <c r="B125" s="51" t="s">
        <v>77</v>
      </c>
      <c r="C125" s="76" t="s">
        <v>173</v>
      </c>
      <c r="D125" s="28" t="s">
        <v>311</v>
      </c>
      <c r="E125" s="21" t="s">
        <v>487</v>
      </c>
      <c r="F125" s="21">
        <f t="shared" si="198"/>
        <v>2020</v>
      </c>
      <c r="G125" s="46" t="str">
        <f t="shared" si="199"/>
        <v>Ошибка в +</v>
      </c>
      <c r="H125" s="46">
        <f t="shared" si="200"/>
        <v>2021</v>
      </c>
      <c r="I125" s="29" t="s">
        <v>131</v>
      </c>
      <c r="J125" s="20">
        <v>183.41300000000001</v>
      </c>
      <c r="K125" s="20">
        <v>0</v>
      </c>
      <c r="L125" s="20">
        <f t="shared" si="176"/>
        <v>154.05849999999998</v>
      </c>
      <c r="M125" s="20">
        <v>10.787000000000001</v>
      </c>
      <c r="N125" s="20">
        <v>132.52599999999998</v>
      </c>
      <c r="O125" s="20">
        <v>0</v>
      </c>
      <c r="P125" s="20">
        <f>10.787-0.0415</f>
        <v>10.745500000000002</v>
      </c>
      <c r="Q125" s="20">
        <v>145.20169999999999</v>
      </c>
      <c r="R125" s="20">
        <f t="shared" si="201"/>
        <v>10.164118999999999</v>
      </c>
      <c r="S125" s="20">
        <f t="shared" si="202"/>
        <v>124.87346199999999</v>
      </c>
      <c r="T125" s="20">
        <f t="shared" si="203"/>
        <v>0</v>
      </c>
      <c r="U125" s="20">
        <f t="shared" si="204"/>
        <v>10.164118999999999</v>
      </c>
      <c r="V125" s="20">
        <v>0</v>
      </c>
      <c r="W125" s="20">
        <f t="shared" si="205"/>
        <v>154.05849999999998</v>
      </c>
      <c r="X125" s="20"/>
      <c r="Y125" s="20">
        <f t="shared" si="206"/>
        <v>-98.641500000000008</v>
      </c>
      <c r="Z125" s="28"/>
      <c r="AA125" s="20">
        <f t="shared" si="207"/>
        <v>0</v>
      </c>
      <c r="AB125" s="28">
        <v>0</v>
      </c>
      <c r="AC125" s="20">
        <v>0</v>
      </c>
      <c r="AD125" s="176">
        <v>152.69999999999999</v>
      </c>
      <c r="AE125" s="28">
        <v>54.058500000000002</v>
      </c>
      <c r="AF125" s="28">
        <v>100.00000000000001</v>
      </c>
      <c r="AG125" s="28">
        <v>91.143199999999993</v>
      </c>
      <c r="AH125" s="28"/>
      <c r="AI125" s="28"/>
      <c r="AJ125" s="28"/>
      <c r="AK125" s="20"/>
      <c r="AL125" s="28"/>
      <c r="AM125" s="28"/>
      <c r="AN125" s="20">
        <v>152.69999999999999</v>
      </c>
      <c r="AO125" s="20">
        <f t="shared" si="185"/>
        <v>145.20169999999999</v>
      </c>
      <c r="AP125" s="94" t="s">
        <v>452</v>
      </c>
      <c r="AQ125" s="69"/>
      <c r="AR125" s="85">
        <f t="shared" si="163"/>
        <v>-98.641500000000008</v>
      </c>
      <c r="AS125" s="85">
        <f t="shared" si="164"/>
        <v>0</v>
      </c>
      <c r="AT125" s="113">
        <f t="shared" si="166"/>
        <v>-8.8567999999999927</v>
      </c>
      <c r="AV125" s="105">
        <f t="shared" si="165"/>
        <v>-1.4210854715202004E-14</v>
      </c>
      <c r="AX125" s="31">
        <f>J125-Q125</f>
        <v>38.211300000000023</v>
      </c>
      <c r="AY125" s="15"/>
      <c r="AZ125" s="118">
        <v>91.143199999999993</v>
      </c>
      <c r="BA125" s="118"/>
      <c r="BB125" s="118"/>
      <c r="BC125" s="118"/>
      <c r="BD125" s="8"/>
      <c r="BE125" s="118">
        <f t="shared" si="157"/>
        <v>0</v>
      </c>
      <c r="BF125" s="118">
        <f t="shared" si="158"/>
        <v>0</v>
      </c>
      <c r="BG125" s="118">
        <f t="shared" si="159"/>
        <v>0</v>
      </c>
      <c r="BH125" s="118">
        <f t="shared" si="160"/>
        <v>0</v>
      </c>
      <c r="BI125" s="122">
        <f t="shared" si="161"/>
        <v>0</v>
      </c>
      <c r="BJ125" s="118">
        <f t="shared" si="208"/>
        <v>0</v>
      </c>
      <c r="BK125" s="108">
        <v>2021</v>
      </c>
      <c r="BL125" s="8" t="b">
        <f t="shared" si="209"/>
        <v>1</v>
      </c>
      <c r="BM125" s="128">
        <f t="shared" si="145"/>
        <v>145.20169999999999</v>
      </c>
      <c r="BN125" s="129">
        <f t="shared" si="127"/>
        <v>0</v>
      </c>
      <c r="BR125" s="73">
        <f t="shared" si="210"/>
        <v>0</v>
      </c>
      <c r="BS125" s="73">
        <f t="shared" si="211"/>
        <v>0</v>
      </c>
      <c r="BT125" s="73">
        <f t="shared" si="212"/>
        <v>49.33527962013563</v>
      </c>
      <c r="BU125" s="73">
        <f t="shared" si="213"/>
        <v>79.798183768542117</v>
      </c>
      <c r="BV125" s="73">
        <f t="shared" si="214"/>
        <v>0</v>
      </c>
      <c r="BW125" s="73">
        <f t="shared" si="215"/>
        <v>0</v>
      </c>
      <c r="BX125" s="73">
        <f t="shared" si="216"/>
        <v>0</v>
      </c>
      <c r="BY125" s="73">
        <f t="shared" si="217"/>
        <v>-1.0476368140840253E-14</v>
      </c>
      <c r="BZ125" s="74">
        <f t="shared" si="218"/>
        <v>154.96015606641328</v>
      </c>
      <c r="CB125" s="75">
        <f t="shared" si="154"/>
        <v>154.96015606641328</v>
      </c>
      <c r="CE125" s="8"/>
      <c r="CJ125" s="70">
        <f t="shared" si="162"/>
        <v>0</v>
      </c>
      <c r="CL125" s="163"/>
      <c r="CM125" s="68"/>
      <c r="CN125" s="28">
        <v>152.69999999999999</v>
      </c>
      <c r="CQ125" s="177">
        <f t="shared" si="155"/>
        <v>145.20169999999999</v>
      </c>
      <c r="CR125" s="177">
        <f t="shared" si="156"/>
        <v>-7.4983000000000004</v>
      </c>
    </row>
    <row r="126" spans="1:157" ht="20.25" x14ac:dyDescent="0.3">
      <c r="A126" s="44" t="s">
        <v>525</v>
      </c>
      <c r="B126" s="51" t="s">
        <v>77</v>
      </c>
      <c r="C126" s="76" t="s">
        <v>174</v>
      </c>
      <c r="D126" s="28" t="s">
        <v>213</v>
      </c>
      <c r="E126" s="21" t="s">
        <v>181</v>
      </c>
      <c r="F126" s="21">
        <f t="shared" si="198"/>
        <v>2019</v>
      </c>
      <c r="G126" s="46" t="str">
        <f t="shared" si="199"/>
        <v>Ошибка в +</v>
      </c>
      <c r="H126" s="46">
        <f t="shared" si="200"/>
        <v>2025</v>
      </c>
      <c r="I126" s="29" t="s">
        <v>131</v>
      </c>
      <c r="J126" s="28" t="s">
        <v>131</v>
      </c>
      <c r="K126" s="20">
        <v>0</v>
      </c>
      <c r="L126" s="20">
        <f t="shared" si="176"/>
        <v>226.8109</v>
      </c>
      <c r="M126" s="20">
        <v>15.876000000000003</v>
      </c>
      <c r="N126" s="20">
        <v>195.048</v>
      </c>
      <c r="O126" s="20">
        <v>0</v>
      </c>
      <c r="P126" s="20">
        <f>15.876+0.0109</f>
        <v>15.886899999999999</v>
      </c>
      <c r="Q126" s="20">
        <v>226.8109</v>
      </c>
      <c r="R126" s="20">
        <f t="shared" si="201"/>
        <v>15.876763000000002</v>
      </c>
      <c r="S126" s="20">
        <f t="shared" si="202"/>
        <v>195.05737400000001</v>
      </c>
      <c r="T126" s="20">
        <f t="shared" si="203"/>
        <v>0</v>
      </c>
      <c r="U126" s="20">
        <f t="shared" si="204"/>
        <v>15.876763000000002</v>
      </c>
      <c r="V126" s="20">
        <v>0</v>
      </c>
      <c r="W126" s="20">
        <f t="shared" si="205"/>
        <v>226.8109</v>
      </c>
      <c r="X126" s="20"/>
      <c r="Y126" s="20">
        <f t="shared" si="206"/>
        <v>204.9076</v>
      </c>
      <c r="Z126" s="28"/>
      <c r="AA126" s="20">
        <f t="shared" si="207"/>
        <v>213.1</v>
      </c>
      <c r="AB126" s="28">
        <v>10.703299999999999</v>
      </c>
      <c r="AC126" s="20">
        <v>10.703299999999999</v>
      </c>
      <c r="AD126" s="176">
        <v>11.2</v>
      </c>
      <c r="AE126" s="28">
        <v>3.0076000000000001</v>
      </c>
      <c r="AF126" s="28"/>
      <c r="AG126" s="28"/>
      <c r="AH126" s="28"/>
      <c r="AI126" s="28"/>
      <c r="AJ126" s="28">
        <v>213.1</v>
      </c>
      <c r="AK126" s="20">
        <v>0</v>
      </c>
      <c r="AL126" s="28"/>
      <c r="AM126" s="28"/>
      <c r="AN126" s="20">
        <f t="shared" si="184"/>
        <v>224.29999999999998</v>
      </c>
      <c r="AO126" s="20">
        <f t="shared" si="185"/>
        <v>3.0076000000000001</v>
      </c>
      <c r="AP126" s="94"/>
      <c r="AQ126" s="86"/>
      <c r="AR126" s="85">
        <f t="shared" si="163"/>
        <v>-8.1923999999999921</v>
      </c>
      <c r="AS126" s="85">
        <f t="shared" si="164"/>
        <v>213.1</v>
      </c>
      <c r="AT126" s="113">
        <f t="shared" si="166"/>
        <v>0</v>
      </c>
      <c r="AV126" s="105">
        <f t="shared" si="165"/>
        <v>213.1</v>
      </c>
      <c r="AX126" s="31"/>
      <c r="AY126" s="15"/>
      <c r="AZ126" s="118"/>
      <c r="BA126" s="118"/>
      <c r="BB126" s="118">
        <v>0</v>
      </c>
      <c r="BC126" s="118"/>
      <c r="BD126" s="8"/>
      <c r="BE126" s="118">
        <f t="shared" si="157"/>
        <v>0</v>
      </c>
      <c r="BF126" s="118">
        <f t="shared" si="158"/>
        <v>0</v>
      </c>
      <c r="BG126" s="118">
        <f t="shared" si="159"/>
        <v>0</v>
      </c>
      <c r="BH126" s="118">
        <f t="shared" si="160"/>
        <v>0</v>
      </c>
      <c r="BI126" s="122">
        <f t="shared" si="161"/>
        <v>0</v>
      </c>
      <c r="BJ126" s="125">
        <f t="shared" si="208"/>
        <v>-213.1</v>
      </c>
      <c r="BK126" s="108">
        <v>2025</v>
      </c>
      <c r="BL126" s="8" t="b">
        <f t="shared" si="209"/>
        <v>1</v>
      </c>
      <c r="BM126" s="128">
        <f t="shared" si="145"/>
        <v>13.710899999999999</v>
      </c>
      <c r="BN126" s="129">
        <f t="shared" si="127"/>
        <v>-213.1</v>
      </c>
      <c r="BR126" s="73">
        <f t="shared" si="210"/>
        <v>0</v>
      </c>
      <c r="BS126" s="73">
        <f t="shared" si="211"/>
        <v>10.193619047619046</v>
      </c>
      <c r="BT126" s="73">
        <f t="shared" si="212"/>
        <v>2.7448187978859924</v>
      </c>
      <c r="BU126" s="73">
        <f t="shared" si="213"/>
        <v>0</v>
      </c>
      <c r="BV126" s="73">
        <f t="shared" si="214"/>
        <v>0</v>
      </c>
      <c r="BW126" s="73">
        <f t="shared" si="215"/>
        <v>0</v>
      </c>
      <c r="BX126" s="73">
        <f t="shared" si="216"/>
        <v>0</v>
      </c>
      <c r="BY126" s="73">
        <f t="shared" si="217"/>
        <v>157.09921011470442</v>
      </c>
      <c r="BZ126" s="74">
        <f t="shared" si="218"/>
        <v>204.04517755225135</v>
      </c>
      <c r="CB126" s="75">
        <f t="shared" si="154"/>
        <v>204.04517755225135</v>
      </c>
      <c r="CE126" s="8"/>
      <c r="CJ126" s="70">
        <f t="shared" si="162"/>
        <v>-1.9539925233402755E-14</v>
      </c>
      <c r="CL126" s="163"/>
      <c r="CM126" s="68"/>
      <c r="CN126" s="28">
        <v>11.2</v>
      </c>
      <c r="CQ126" s="177">
        <f t="shared" si="155"/>
        <v>216.10759999999999</v>
      </c>
      <c r="CR126" s="177">
        <f t="shared" si="156"/>
        <v>-8.1923999999999921</v>
      </c>
    </row>
    <row r="127" spans="1:157" ht="37.5" x14ac:dyDescent="0.3">
      <c r="A127" s="44" t="s">
        <v>525</v>
      </c>
      <c r="B127" s="51" t="s">
        <v>77</v>
      </c>
      <c r="C127" s="76" t="s">
        <v>462</v>
      </c>
      <c r="D127" s="20" t="s">
        <v>477</v>
      </c>
      <c r="E127" s="21" t="s">
        <v>130</v>
      </c>
      <c r="F127" s="21">
        <f t="shared" si="198"/>
        <v>2021</v>
      </c>
      <c r="G127" s="46">
        <f t="shared" si="199"/>
        <v>2021</v>
      </c>
      <c r="H127" s="46">
        <f t="shared" si="200"/>
        <v>2022</v>
      </c>
      <c r="I127" s="29" t="s">
        <v>131</v>
      </c>
      <c r="J127" s="20">
        <f>Q127</f>
        <v>635.27779999999996</v>
      </c>
      <c r="K127" s="20">
        <v>0</v>
      </c>
      <c r="L127" s="20">
        <f t="shared" si="176"/>
        <v>348</v>
      </c>
      <c r="M127" s="20">
        <v>24.360000000000003</v>
      </c>
      <c r="N127" s="20">
        <v>299.27999999999997</v>
      </c>
      <c r="O127" s="20">
        <v>0</v>
      </c>
      <c r="P127" s="20">
        <v>24.360000000000003</v>
      </c>
      <c r="Q127" s="20">
        <v>635.27779999999996</v>
      </c>
      <c r="R127" s="20">
        <f t="shared" si="201"/>
        <v>44.469445999999998</v>
      </c>
      <c r="S127" s="20">
        <f t="shared" si="202"/>
        <v>546.33890799999995</v>
      </c>
      <c r="T127" s="20">
        <f t="shared" si="203"/>
        <v>0</v>
      </c>
      <c r="U127" s="20">
        <f t="shared" si="204"/>
        <v>44.469445999999998</v>
      </c>
      <c r="V127" s="20">
        <v>0</v>
      </c>
      <c r="W127" s="20">
        <f t="shared" si="205"/>
        <v>348</v>
      </c>
      <c r="X127" s="20"/>
      <c r="Y127" s="20">
        <f t="shared" si="206"/>
        <v>0</v>
      </c>
      <c r="Z127" s="28"/>
      <c r="AA127" s="20">
        <f t="shared" si="207"/>
        <v>211.59999999999997</v>
      </c>
      <c r="AB127" s="28">
        <v>0</v>
      </c>
      <c r="AC127" s="20">
        <v>0</v>
      </c>
      <c r="AD127" s="28"/>
      <c r="AE127" s="28"/>
      <c r="AF127" s="28">
        <v>348</v>
      </c>
      <c r="AG127" s="28">
        <v>423.67779999999999</v>
      </c>
      <c r="AH127" s="28"/>
      <c r="AI127" s="28">
        <f>210+1.6</f>
        <v>211.6</v>
      </c>
      <c r="AJ127" s="28"/>
      <c r="AK127" s="20"/>
      <c r="AL127" s="28"/>
      <c r="AM127" s="28"/>
      <c r="AN127" s="20">
        <f t="shared" si="184"/>
        <v>348</v>
      </c>
      <c r="AO127" s="20">
        <f t="shared" si="185"/>
        <v>635.27779999999996</v>
      </c>
      <c r="AP127" s="94" t="s">
        <v>462</v>
      </c>
      <c r="AQ127" s="86"/>
      <c r="AR127" s="85">
        <f t="shared" si="163"/>
        <v>0</v>
      </c>
      <c r="AS127" s="85">
        <f t="shared" si="164"/>
        <v>0</v>
      </c>
      <c r="AT127" s="113">
        <f t="shared" si="166"/>
        <v>287.27779999999996</v>
      </c>
      <c r="AV127" s="105">
        <f t="shared" si="165"/>
        <v>-2.8421709430404007E-14</v>
      </c>
      <c r="AX127" s="31">
        <f t="shared" ref="AX127:AX129" si="219">J127-Q127</f>
        <v>0</v>
      </c>
      <c r="AY127" s="15"/>
      <c r="AZ127" s="118">
        <v>423.67779999999999</v>
      </c>
      <c r="BA127" s="118"/>
      <c r="BB127" s="118"/>
      <c r="BC127" s="118"/>
      <c r="BD127" s="8"/>
      <c r="BE127" s="118">
        <f t="shared" si="157"/>
        <v>0</v>
      </c>
      <c r="BF127" s="118">
        <f t="shared" si="158"/>
        <v>211.6</v>
      </c>
      <c r="BG127" s="118">
        <f t="shared" si="159"/>
        <v>0</v>
      </c>
      <c r="BH127" s="118">
        <f t="shared" si="160"/>
        <v>0</v>
      </c>
      <c r="BI127" s="122">
        <f t="shared" si="161"/>
        <v>211.6</v>
      </c>
      <c r="BJ127" s="118">
        <f t="shared" si="208"/>
        <v>0</v>
      </c>
      <c r="BK127" s="108">
        <v>2021</v>
      </c>
      <c r="BL127" s="8" t="b">
        <f t="shared" si="209"/>
        <v>0</v>
      </c>
      <c r="BM127" s="128">
        <f t="shared" si="145"/>
        <v>635.27779999999996</v>
      </c>
      <c r="BN127" s="129">
        <f t="shared" ref="BN127:BN190" si="220">BM127-Q127</f>
        <v>0</v>
      </c>
      <c r="BR127" s="73">
        <f t="shared" si="210"/>
        <v>0</v>
      </c>
      <c r="BS127" s="73">
        <f t="shared" si="211"/>
        <v>0</v>
      </c>
      <c r="BT127" s="73"/>
      <c r="BU127" s="73"/>
      <c r="BV127" s="73"/>
      <c r="BW127" s="73"/>
      <c r="BX127" s="73"/>
      <c r="BY127" s="73"/>
      <c r="BZ127" s="74"/>
      <c r="CB127" s="75">
        <f t="shared" si="154"/>
        <v>658.23585346178868</v>
      </c>
      <c r="CE127" s="8"/>
      <c r="CJ127" s="70">
        <f t="shared" si="162"/>
        <v>6.3948846218409017E-14</v>
      </c>
      <c r="CL127" s="163"/>
      <c r="CM127" s="68"/>
      <c r="CN127" s="28"/>
      <c r="CQ127" s="177">
        <f t="shared" si="155"/>
        <v>423.67779999999999</v>
      </c>
      <c r="CR127" s="177">
        <f t="shared" si="156"/>
        <v>75.677799999999991</v>
      </c>
    </row>
    <row r="128" spans="1:157" s="8" customFormat="1" ht="37.5" x14ac:dyDescent="0.3">
      <c r="A128" s="44"/>
      <c r="B128" s="51" t="s">
        <v>77</v>
      </c>
      <c r="C128" s="136" t="s">
        <v>522</v>
      </c>
      <c r="D128" s="20" t="s">
        <v>530</v>
      </c>
      <c r="E128" s="27" t="s">
        <v>130</v>
      </c>
      <c r="F128" s="21">
        <f t="shared" si="198"/>
        <v>2021</v>
      </c>
      <c r="G128" s="46" t="str">
        <f t="shared" si="199"/>
        <v>нд</v>
      </c>
      <c r="H128" s="46">
        <f t="shared" si="200"/>
        <v>2022</v>
      </c>
      <c r="I128" s="22" t="s">
        <v>131</v>
      </c>
      <c r="J128" s="28">
        <f t="shared" ref="J128:J129" si="221">Q128</f>
        <v>743.71299999999997</v>
      </c>
      <c r="K128" s="20">
        <v>0</v>
      </c>
      <c r="L128" s="20">
        <f t="shared" si="176"/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743.71299999999997</v>
      </c>
      <c r="R128" s="20">
        <f t="shared" si="201"/>
        <v>52.059910000000002</v>
      </c>
      <c r="S128" s="20">
        <f t="shared" si="202"/>
        <v>639.59317999999996</v>
      </c>
      <c r="T128" s="20">
        <f t="shared" si="203"/>
        <v>0</v>
      </c>
      <c r="U128" s="20">
        <f t="shared" si="204"/>
        <v>52.059910000000002</v>
      </c>
      <c r="V128" s="20">
        <v>0</v>
      </c>
      <c r="W128" s="20">
        <f t="shared" si="205"/>
        <v>0</v>
      </c>
      <c r="X128" s="20"/>
      <c r="Y128" s="20">
        <f t="shared" si="206"/>
        <v>0</v>
      </c>
      <c r="Z128" s="28"/>
      <c r="AA128" s="20">
        <f t="shared" si="207"/>
        <v>342.99999999999994</v>
      </c>
      <c r="AB128" s="20">
        <v>0</v>
      </c>
      <c r="AC128" s="20">
        <v>0</v>
      </c>
      <c r="AD128" s="20"/>
      <c r="AE128" s="20"/>
      <c r="AF128" s="20"/>
      <c r="AG128" s="20">
        <v>400.71300000000002</v>
      </c>
      <c r="AH128" s="20"/>
      <c r="AI128" s="20">
        <v>343</v>
      </c>
      <c r="AJ128" s="20"/>
      <c r="AK128" s="20"/>
      <c r="AL128" s="20">
        <v>0</v>
      </c>
      <c r="AM128" s="20"/>
      <c r="AN128" s="20">
        <f t="shared" si="184"/>
        <v>0</v>
      </c>
      <c r="AO128" s="20">
        <f t="shared" si="184"/>
        <v>743.71299999999997</v>
      </c>
      <c r="AP128" s="94" t="s">
        <v>555</v>
      </c>
      <c r="AQ128" s="86"/>
      <c r="AR128" s="85">
        <f t="shared" si="163"/>
        <v>0</v>
      </c>
      <c r="AS128" s="114">
        <f t="shared" si="164"/>
        <v>0</v>
      </c>
      <c r="AT128" s="113">
        <f t="shared" si="166"/>
        <v>743.71299999999997</v>
      </c>
      <c r="AV128" s="105">
        <f t="shared" si="165"/>
        <v>-5.6843418860808015E-14</v>
      </c>
      <c r="AX128" s="31">
        <f t="shared" si="219"/>
        <v>0</v>
      </c>
      <c r="AY128" s="15"/>
      <c r="AZ128" s="118">
        <v>400.71300000000002</v>
      </c>
      <c r="BA128" s="118">
        <v>74.58</v>
      </c>
      <c r="BB128" s="118"/>
      <c r="BC128" s="118"/>
      <c r="BE128" s="118">
        <f t="shared" si="157"/>
        <v>0</v>
      </c>
      <c r="BF128" s="118">
        <f t="shared" si="158"/>
        <v>268.42</v>
      </c>
      <c r="BG128" s="118">
        <f t="shared" si="159"/>
        <v>0</v>
      </c>
      <c r="BH128" s="118">
        <f t="shared" si="160"/>
        <v>0</v>
      </c>
      <c r="BI128" s="122">
        <f t="shared" si="161"/>
        <v>268.42</v>
      </c>
      <c r="BJ128" s="118">
        <f t="shared" si="208"/>
        <v>0</v>
      </c>
      <c r="BK128" s="44">
        <v>2022</v>
      </c>
      <c r="BL128" s="8" t="b">
        <f t="shared" si="209"/>
        <v>1</v>
      </c>
      <c r="BM128" s="128">
        <f t="shared" si="145"/>
        <v>743.71299999999997</v>
      </c>
      <c r="BN128" s="129">
        <f t="shared" si="220"/>
        <v>0</v>
      </c>
      <c r="BR128" s="86">
        <f t="shared" si="210"/>
        <v>0</v>
      </c>
      <c r="BS128" s="86">
        <f t="shared" si="211"/>
        <v>0</v>
      </c>
      <c r="BT128" s="86">
        <f t="shared" ref="BT128:BT140" si="222">AE128/$BT$15</f>
        <v>0</v>
      </c>
      <c r="BU128" s="86">
        <f t="shared" ref="BU128:BU140" si="223">AG128/$BU$15</f>
        <v>350.83439699773345</v>
      </c>
      <c r="BV128" s="86">
        <f t="shared" ref="BV128:BV140" si="224">AI128/$BV$15</f>
        <v>287.86909761374397</v>
      </c>
      <c r="BW128" s="86">
        <f t="shared" ref="BW128:BW140" si="225">AK128/$BW$15</f>
        <v>0</v>
      </c>
      <c r="BX128" s="86">
        <f t="shared" ref="BX128:BX140" si="226">AM128/$BX$15</f>
        <v>0</v>
      </c>
      <c r="BY128" s="86">
        <f t="shared" ref="BY128:BY140" si="227">(Q128-K128-AC128-AE128-AG128-AI128-AK128-AM128)/$BY$15</f>
        <v>-4.1905472563361011E-14</v>
      </c>
      <c r="BZ128" s="87">
        <f t="shared" ref="BZ128:BZ140" si="228">SUM(BR128:BY128)*1.2</f>
        <v>766.44419353377293</v>
      </c>
      <c r="CB128" s="75">
        <f t="shared" si="154"/>
        <v>766.44419353377293</v>
      </c>
      <c r="CJ128" s="70">
        <f t="shared" si="162"/>
        <v>5.6843418860808015E-14</v>
      </c>
      <c r="CK128" s="166"/>
      <c r="CL128" s="163"/>
      <c r="CM128" s="68"/>
      <c r="CN128" s="20"/>
      <c r="CQ128" s="177">
        <f t="shared" si="155"/>
        <v>400.71300000000002</v>
      </c>
      <c r="CR128" s="177">
        <f t="shared" si="156"/>
        <v>400.71300000000002</v>
      </c>
    </row>
    <row r="129" spans="1:96" s="8" customFormat="1" ht="20.25" x14ac:dyDescent="0.3">
      <c r="A129" s="44"/>
      <c r="B129" s="51" t="s">
        <v>77</v>
      </c>
      <c r="C129" s="137" t="s">
        <v>560</v>
      </c>
      <c r="D129" s="20" t="s">
        <v>561</v>
      </c>
      <c r="E129" s="27" t="s">
        <v>181</v>
      </c>
      <c r="F129" s="21">
        <f t="shared" si="198"/>
        <v>2022</v>
      </c>
      <c r="G129" s="46" t="str">
        <f t="shared" si="199"/>
        <v>нд</v>
      </c>
      <c r="H129" s="46">
        <f t="shared" si="200"/>
        <v>2022</v>
      </c>
      <c r="I129" s="22" t="s">
        <v>131</v>
      </c>
      <c r="J129" s="28">
        <f t="shared" si="221"/>
        <v>7.9416000000000002</v>
      </c>
      <c r="K129" s="20">
        <v>0</v>
      </c>
      <c r="L129" s="20">
        <f t="shared" si="176"/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7.9416000000000002</v>
      </c>
      <c r="R129" s="20">
        <f t="shared" si="201"/>
        <v>0.55591200000000007</v>
      </c>
      <c r="S129" s="20">
        <f t="shared" si="202"/>
        <v>6.8297759999999998</v>
      </c>
      <c r="T129" s="20">
        <f t="shared" si="203"/>
        <v>0</v>
      </c>
      <c r="U129" s="20">
        <f t="shared" si="204"/>
        <v>0.55591200000000007</v>
      </c>
      <c r="V129" s="20">
        <v>0</v>
      </c>
      <c r="W129" s="20">
        <f t="shared" si="205"/>
        <v>0</v>
      </c>
      <c r="X129" s="20"/>
      <c r="Y129" s="20">
        <f t="shared" si="206"/>
        <v>0</v>
      </c>
      <c r="Z129" s="28"/>
      <c r="AA129" s="20">
        <f t="shared" si="207"/>
        <v>7.9416000000000002</v>
      </c>
      <c r="AB129" s="20">
        <v>0</v>
      </c>
      <c r="AC129" s="20">
        <v>0</v>
      </c>
      <c r="AD129" s="20"/>
      <c r="AE129" s="20"/>
      <c r="AF129" s="20"/>
      <c r="AG129" s="20"/>
      <c r="AH129" s="20"/>
      <c r="AI129" s="20">
        <v>7.9416000000000002</v>
      </c>
      <c r="AJ129" s="20"/>
      <c r="AK129" s="20"/>
      <c r="AL129" s="20">
        <v>0</v>
      </c>
      <c r="AM129" s="20"/>
      <c r="AN129" s="20">
        <f t="shared" si="184"/>
        <v>0</v>
      </c>
      <c r="AO129" s="20">
        <f t="shared" ref="AO129" si="229">SUM(AE129+AG129+AI129+AK129+AM129)</f>
        <v>7.9416000000000002</v>
      </c>
      <c r="AP129" s="94" t="s">
        <v>563</v>
      </c>
      <c r="AQ129" s="86"/>
      <c r="AR129" s="85">
        <f t="shared" si="163"/>
        <v>0</v>
      </c>
      <c r="AS129" s="85">
        <f t="shared" si="164"/>
        <v>0</v>
      </c>
      <c r="AT129" s="113">
        <f t="shared" si="166"/>
        <v>7.9416000000000002</v>
      </c>
      <c r="AV129" s="105">
        <f t="shared" si="165"/>
        <v>0</v>
      </c>
      <c r="AX129" s="31">
        <f t="shared" si="219"/>
        <v>0</v>
      </c>
      <c r="AY129" s="166"/>
      <c r="AZ129" s="118"/>
      <c r="BA129" s="118">
        <v>7.9416000000000002</v>
      </c>
      <c r="BB129" s="118"/>
      <c r="BC129" s="118"/>
      <c r="BE129" s="118">
        <f t="shared" si="157"/>
        <v>0</v>
      </c>
      <c r="BF129" s="118">
        <f t="shared" si="158"/>
        <v>0</v>
      </c>
      <c r="BG129" s="118">
        <f t="shared" si="159"/>
        <v>0</v>
      </c>
      <c r="BH129" s="118">
        <f t="shared" si="160"/>
        <v>0</v>
      </c>
      <c r="BI129" s="122">
        <f t="shared" si="161"/>
        <v>0</v>
      </c>
      <c r="BJ129" s="118">
        <f t="shared" si="208"/>
        <v>0</v>
      </c>
      <c r="BK129" s="44">
        <v>2022</v>
      </c>
      <c r="BL129" s="8" t="b">
        <f t="shared" si="209"/>
        <v>1</v>
      </c>
      <c r="BM129" s="128">
        <f t="shared" si="145"/>
        <v>7.9416000000000002</v>
      </c>
      <c r="BN129" s="129">
        <f t="shared" si="220"/>
        <v>0</v>
      </c>
      <c r="BR129" s="86">
        <f t="shared" si="210"/>
        <v>0</v>
      </c>
      <c r="BS129" s="86">
        <f t="shared" si="211"/>
        <v>0</v>
      </c>
      <c r="BT129" s="86">
        <f t="shared" si="222"/>
        <v>0</v>
      </c>
      <c r="BU129" s="86">
        <f t="shared" si="223"/>
        <v>0</v>
      </c>
      <c r="BV129" s="86">
        <f t="shared" si="224"/>
        <v>6.6651347685402609</v>
      </c>
      <c r="BW129" s="86">
        <f t="shared" si="225"/>
        <v>0</v>
      </c>
      <c r="BX129" s="86">
        <f t="shared" si="226"/>
        <v>0</v>
      </c>
      <c r="BY129" s="86">
        <f t="shared" si="227"/>
        <v>0</v>
      </c>
      <c r="BZ129" s="87">
        <f t="shared" si="228"/>
        <v>7.9981617222483123</v>
      </c>
      <c r="CB129" s="75">
        <f t="shared" si="154"/>
        <v>7.9981617222483123</v>
      </c>
      <c r="CJ129" s="70">
        <f t="shared" si="162"/>
        <v>0</v>
      </c>
      <c r="CK129" s="166"/>
      <c r="CL129" s="163"/>
      <c r="CM129" s="68"/>
      <c r="CN129" s="20"/>
      <c r="CQ129" s="177">
        <f t="shared" si="155"/>
        <v>0</v>
      </c>
      <c r="CR129" s="177">
        <f t="shared" si="156"/>
        <v>0</v>
      </c>
    </row>
    <row r="130" spans="1:96" ht="20.25" x14ac:dyDescent="0.3">
      <c r="A130" s="44" t="s">
        <v>525</v>
      </c>
      <c r="B130" s="51" t="s">
        <v>77</v>
      </c>
      <c r="C130" s="71" t="s">
        <v>195</v>
      </c>
      <c r="D130" s="20" t="s">
        <v>259</v>
      </c>
      <c r="E130" s="21" t="s">
        <v>483</v>
      </c>
      <c r="F130" s="21" t="str">
        <f>IF(K130&gt;0,2018,IF(AC130&gt;0,2019,IF(AE130&gt;0,2020,IF(AG130&gt;0,2021,IF(AI130&gt;0,2022,IF(AK130&gt;0,2023,IF(AM130&gt;0,2024,"нд")))))))</f>
        <v>нд</v>
      </c>
      <c r="G130" s="46">
        <f>IF(AND(L130-(K130+AB130+AD130+AF130+AH130+AJ130+AL130)&lt;0.1,L130-(K130+AB130+AD130+AF130+AH130+AJ130+AL130)&gt;0.00001),"Ошибка в -",IF((K130+AB130+AD130+AF130+AH130+AJ130+AL130)&gt;L130,"Ошибка в +",IF(L130&gt;(K130+AB130+AD130+AF130+AH130+AJ130+AL130),2025,IF(AL130&gt;0,2024,IF(AJ130&gt;0,2023,IF(AH130&gt;0,2022,IF(AF130&gt;0,2021,IF(AD130&gt;0,2020,IF(AB130&gt;0,2019,IF(K130&gt;0,2018,"нд"))))))))))</f>
        <v>2024</v>
      </c>
      <c r="H130" s="46" t="str">
        <f>IF(AND((Q130-(K130+AC130+AE130+AG130+AI130+AK130+AM130))&lt;0.1,Q130-(K130+AC130+AE130+AG130+AI130+AK130+AM130)&gt;0.0001),"Ошибка в -",IF((K130+AC130+AE130+AG130+AI130+AK130+AM130)&gt;Q130,"Ошибка в +",IF(Q130&gt;(K130+AC130+AE130+AG130+AI130+AK130+AM130),2025,IF(AM130&gt;0,2024,IF(AK130&gt;0,2023,IF(AI130&gt;0,2022,IF(AG130&gt;0,2021,IF(AE130&gt;0,2020,IF(AC130&gt;0,2019,IF(K130&gt;0,2018,"нд"))))))))))</f>
        <v>нд</v>
      </c>
      <c r="I130" s="22" t="s">
        <v>131</v>
      </c>
      <c r="J130" s="20" t="s">
        <v>131</v>
      </c>
      <c r="K130" s="20">
        <v>0</v>
      </c>
      <c r="L130" s="20">
        <f t="shared" si="176"/>
        <v>197.2</v>
      </c>
      <c r="M130" s="20">
        <v>13.804</v>
      </c>
      <c r="N130" s="20">
        <v>169.59199999999998</v>
      </c>
      <c r="O130" s="20">
        <v>0</v>
      </c>
      <c r="P130" s="20">
        <v>13.804</v>
      </c>
      <c r="Q130" s="20">
        <v>0</v>
      </c>
      <c r="R130" s="20">
        <f t="shared" si="201"/>
        <v>0</v>
      </c>
      <c r="S130" s="20">
        <f t="shared" si="202"/>
        <v>0</v>
      </c>
      <c r="T130" s="20">
        <f t="shared" si="203"/>
        <v>0</v>
      </c>
      <c r="U130" s="20">
        <f t="shared" si="204"/>
        <v>0</v>
      </c>
      <c r="V130" s="20">
        <v>0</v>
      </c>
      <c r="W130" s="20">
        <f>L130-K130</f>
        <v>197.2</v>
      </c>
      <c r="X130" s="20"/>
      <c r="Y130" s="20">
        <f>W130-(AB130+AD130+AF130)</f>
        <v>197.2</v>
      </c>
      <c r="Z130" s="28"/>
      <c r="AA130" s="20">
        <f>Q130-(K130+AC130+AE130+AG130)</f>
        <v>0</v>
      </c>
      <c r="AB130" s="20">
        <v>0</v>
      </c>
      <c r="AC130" s="20">
        <v>0</v>
      </c>
      <c r="AD130" s="20"/>
      <c r="AE130" s="20"/>
      <c r="AF130" s="20"/>
      <c r="AG130" s="20"/>
      <c r="AH130" s="20"/>
      <c r="AI130" s="20"/>
      <c r="AJ130" s="20">
        <v>50.8</v>
      </c>
      <c r="AK130" s="20"/>
      <c r="AL130" s="20">
        <v>146.4</v>
      </c>
      <c r="AM130" s="20"/>
      <c r="AN130" s="20">
        <f t="shared" si="184"/>
        <v>197.2</v>
      </c>
      <c r="AO130" s="20">
        <f t="shared" si="184"/>
        <v>0</v>
      </c>
      <c r="AP130" s="94" t="s">
        <v>550</v>
      </c>
      <c r="AQ130" s="86"/>
      <c r="AR130" s="85">
        <f>L130-(K130+AB130+AD130+AF130+AH130+AJ130+AL130)</f>
        <v>0</v>
      </c>
      <c r="AS130" s="85">
        <f>Q130-(K130+AC130+AE130+AG130+AI130+AK130+AM130)</f>
        <v>0</v>
      </c>
      <c r="AT130" s="113">
        <f>Q130-L130</f>
        <v>-197.2</v>
      </c>
      <c r="AV130" s="105">
        <f t="shared" si="165"/>
        <v>0</v>
      </c>
      <c r="AX130" s="31"/>
      <c r="AY130" s="166"/>
      <c r="AZ130" s="118"/>
      <c r="BA130" s="118"/>
      <c r="BB130" s="118"/>
      <c r="BC130" s="118"/>
      <c r="BD130" s="8"/>
      <c r="BE130" s="118">
        <f t="shared" si="157"/>
        <v>0</v>
      </c>
      <c r="BF130" s="118">
        <f t="shared" si="158"/>
        <v>0</v>
      </c>
      <c r="BG130" s="118">
        <f t="shared" si="159"/>
        <v>0</v>
      </c>
      <c r="BH130" s="118">
        <f t="shared" si="160"/>
        <v>0</v>
      </c>
      <c r="BI130" s="122">
        <f t="shared" si="161"/>
        <v>0</v>
      </c>
      <c r="BJ130" s="118">
        <f t="shared" si="208"/>
        <v>0</v>
      </c>
      <c r="BK130" s="108" t="s">
        <v>131</v>
      </c>
      <c r="BL130" s="8" t="b">
        <f t="shared" si="209"/>
        <v>1</v>
      </c>
      <c r="BM130" s="128">
        <f t="shared" si="145"/>
        <v>0</v>
      </c>
      <c r="BN130" s="129">
        <f t="shared" si="220"/>
        <v>0</v>
      </c>
      <c r="BR130" s="73">
        <f>K130/$BR$15</f>
        <v>0</v>
      </c>
      <c r="BS130" s="73">
        <f>AC130/$BS$15</f>
        <v>0</v>
      </c>
      <c r="BT130" s="73">
        <f>AE130/$BT$15</f>
        <v>0</v>
      </c>
      <c r="BU130" s="73">
        <f>AG130/$BU$15</f>
        <v>0</v>
      </c>
      <c r="BV130" s="73">
        <f>AI130/$BV$15</f>
        <v>0</v>
      </c>
      <c r="BW130" s="73">
        <f>AK130/$BW$15</f>
        <v>0</v>
      </c>
      <c r="BX130" s="73">
        <f>AM130/$BX$15</f>
        <v>0</v>
      </c>
      <c r="BY130" s="73">
        <f>(Q130-K130-AC130-AE130-AG130-AI130-AK130-AM130)/$BY$15</f>
        <v>0</v>
      </c>
      <c r="BZ130" s="74">
        <f t="shared" si="228"/>
        <v>0</v>
      </c>
      <c r="CB130" s="75">
        <f>((Q130-(K130+AC130+AE130+AG130+AI130+AK130+AM130))/$BY$15+K130/$BR$15+AC130/$BS$15+AE130/$BT$15+AG130/$BU$15+AI130/$BV$15+AK130/$BW$15+AM130/$BX$15)*1.2</f>
        <v>0</v>
      </c>
      <c r="CE130" s="8"/>
      <c r="CJ130" s="70">
        <f>Q130-R130-S130-T130-U130</f>
        <v>0</v>
      </c>
      <c r="CL130" s="163"/>
      <c r="CM130" s="68"/>
      <c r="CN130" s="20"/>
      <c r="CQ130" s="177">
        <f t="shared" si="155"/>
        <v>197.2</v>
      </c>
      <c r="CR130" s="177">
        <f t="shared" si="156"/>
        <v>0</v>
      </c>
    </row>
    <row r="131" spans="1:96" ht="20.25" x14ac:dyDescent="0.3">
      <c r="A131" s="44" t="s">
        <v>525</v>
      </c>
      <c r="B131" s="51" t="s">
        <v>77</v>
      </c>
      <c r="C131" s="111" t="s">
        <v>158</v>
      </c>
      <c r="D131" s="20" t="s">
        <v>262</v>
      </c>
      <c r="E131" s="21" t="s">
        <v>483</v>
      </c>
      <c r="F131" s="21" t="str">
        <f>IF(K131&gt;0,2018,IF(AC131&gt;0,2019,IF(AE131&gt;0,2020,IF(AG131&gt;0,2021,IF(AI131&gt;0,2022,IF(AK131&gt;0,2023,IF(AM131&gt;0,2024,"нд")))))))</f>
        <v>нд</v>
      </c>
      <c r="G131" s="46">
        <f>IF(AND(L131-(K131+AB131+AD131+AF131+AH131+AJ131+AL131)&lt;0.1,L131-(K131+AB131+AD131+AF131+AH131+AJ131+AL131)&gt;0.00001),"Ошибка в -",IF((K131+AB131+AD131+AF131+AH131+AJ131+AL131)&gt;L131,"Ошибка в +",IF(L131&gt;(K131+AB131+AD131+AF131+AH131+AJ131+AL131),2025,IF(AL131&gt;0,2024,IF(AJ131&gt;0,2023,IF(AH131&gt;0,2022,IF(AF131&gt;0,2021,IF(AD131&gt;0,2020,IF(AB131&gt;0,2019,IF(K131&gt;0,2018,"нд"))))))))))</f>
        <v>2022</v>
      </c>
      <c r="H131" s="46" t="str">
        <f>IF(AND((Q131-(K131+AC131+AE131+AG131+AI131+AK131+AM131))&lt;0.1,Q131-(K131+AC131+AE131+AG131+AI131+AK131+AM131)&gt;0.0001),"Ошибка в -",IF((K131+AC131+AE131+AG131+AI131+AK131+AM131)&gt;Q131,"Ошибка в +",IF(Q131&gt;(K131+AC131+AE131+AG131+AI131+AK131+AM131),2025,IF(AM131&gt;0,2024,IF(AK131&gt;0,2023,IF(AI131&gt;0,2022,IF(AG131&gt;0,2021,IF(AE131&gt;0,2020,IF(AC131&gt;0,2019,IF(K131&gt;0,2018,"нд"))))))))))</f>
        <v>нд</v>
      </c>
      <c r="I131" s="22" t="s">
        <v>131</v>
      </c>
      <c r="J131" s="20" t="s">
        <v>131</v>
      </c>
      <c r="K131" s="20">
        <v>0</v>
      </c>
      <c r="L131" s="20">
        <f t="shared" si="176"/>
        <v>67.599999999999994</v>
      </c>
      <c r="M131" s="20">
        <v>4.7320000000000002</v>
      </c>
      <c r="N131" s="20">
        <v>58.135999999999996</v>
      </c>
      <c r="O131" s="20">
        <v>0</v>
      </c>
      <c r="P131" s="20">
        <v>4.7320000000000002</v>
      </c>
      <c r="Q131" s="20">
        <v>0</v>
      </c>
      <c r="R131" s="20">
        <f t="shared" si="201"/>
        <v>0</v>
      </c>
      <c r="S131" s="20">
        <f t="shared" si="202"/>
        <v>0</v>
      </c>
      <c r="T131" s="20">
        <f t="shared" si="203"/>
        <v>0</v>
      </c>
      <c r="U131" s="20">
        <f t="shared" si="204"/>
        <v>0</v>
      </c>
      <c r="V131" s="20">
        <v>0</v>
      </c>
      <c r="W131" s="20">
        <f>L131-K131</f>
        <v>67.599999999999994</v>
      </c>
      <c r="X131" s="20"/>
      <c r="Y131" s="20">
        <f>W131-(AB131+AD131+AF131)</f>
        <v>67.599999999999994</v>
      </c>
      <c r="Z131" s="28"/>
      <c r="AA131" s="20">
        <f>Q131-(K131+AC131+AE131+AG131)</f>
        <v>0</v>
      </c>
      <c r="AB131" s="20">
        <v>0</v>
      </c>
      <c r="AC131" s="20">
        <v>0</v>
      </c>
      <c r="AD131" s="20"/>
      <c r="AE131" s="20"/>
      <c r="AF131" s="20"/>
      <c r="AG131" s="20"/>
      <c r="AH131" s="20">
        <v>67.599999999999994</v>
      </c>
      <c r="AI131" s="20"/>
      <c r="AJ131" s="20"/>
      <c r="AK131" s="20"/>
      <c r="AL131" s="20"/>
      <c r="AM131" s="20"/>
      <c r="AN131" s="20">
        <f t="shared" si="184"/>
        <v>67.599999999999994</v>
      </c>
      <c r="AO131" s="20">
        <f t="shared" si="184"/>
        <v>0</v>
      </c>
      <c r="AP131" s="94" t="s">
        <v>550</v>
      </c>
      <c r="AQ131" s="86"/>
      <c r="AR131" s="85">
        <f>L131-(K131+AB131+AD131+AF131+AH131+AJ131+AL131)</f>
        <v>0</v>
      </c>
      <c r="AS131" s="85">
        <f>Q131-(K131+AC131+AE131+AG131+AI131+AK131+AM131)</f>
        <v>0</v>
      </c>
      <c r="AT131" s="113">
        <f>Q131-L131</f>
        <v>-67.599999999999994</v>
      </c>
      <c r="AV131" s="105">
        <f t="shared" si="165"/>
        <v>0</v>
      </c>
      <c r="AX131" s="31"/>
      <c r="AY131" s="15"/>
      <c r="AZ131" s="118"/>
      <c r="BA131" s="118"/>
      <c r="BB131" s="118"/>
      <c r="BC131" s="118"/>
      <c r="BD131" s="8"/>
      <c r="BE131" s="118">
        <f t="shared" si="157"/>
        <v>0</v>
      </c>
      <c r="BF131" s="118">
        <f t="shared" si="158"/>
        <v>0</v>
      </c>
      <c r="BG131" s="118">
        <f t="shared" si="159"/>
        <v>0</v>
      </c>
      <c r="BH131" s="118">
        <f t="shared" si="160"/>
        <v>0</v>
      </c>
      <c r="BI131" s="122">
        <f t="shared" si="161"/>
        <v>0</v>
      </c>
      <c r="BJ131" s="118">
        <f t="shared" si="208"/>
        <v>0</v>
      </c>
      <c r="BK131" s="108" t="s">
        <v>131</v>
      </c>
      <c r="BL131" s="8" t="b">
        <f t="shared" si="209"/>
        <v>1</v>
      </c>
      <c r="BM131" s="128">
        <f t="shared" si="145"/>
        <v>0</v>
      </c>
      <c r="BN131" s="129">
        <f t="shared" si="220"/>
        <v>0</v>
      </c>
      <c r="BR131" s="73">
        <f>K131/$BR$15</f>
        <v>0</v>
      </c>
      <c r="BS131" s="73">
        <f>AC131/$BS$15</f>
        <v>0</v>
      </c>
      <c r="BT131" s="73">
        <f>AE131/$BT$15</f>
        <v>0</v>
      </c>
      <c r="BU131" s="73">
        <f>AG131/$BU$15</f>
        <v>0</v>
      </c>
      <c r="BV131" s="73">
        <f>AI131/$BV$15</f>
        <v>0</v>
      </c>
      <c r="BW131" s="73">
        <f>AK131/$BW$15</f>
        <v>0</v>
      </c>
      <c r="BX131" s="73">
        <f>AM131/$BX$15</f>
        <v>0</v>
      </c>
      <c r="BY131" s="73">
        <f>(Q131-K131-AC131-AE131-AG131-AI131-AK131-AM131)/$BY$15</f>
        <v>0</v>
      </c>
      <c r="BZ131" s="74">
        <f t="shared" si="228"/>
        <v>0</v>
      </c>
      <c r="CB131" s="75">
        <f>((Q131-(K131+AC131+AE131+AG131+AI131+AK131+AM131))/$BY$15+K131/$BR$15+AC131/$BS$15+AE131/$BT$15+AG131/$BU$15+AI131/$BV$15+AK131/$BW$15+AM131/$BX$15)*1.2</f>
        <v>0</v>
      </c>
      <c r="CE131" s="8"/>
      <c r="CJ131" s="70">
        <f>Q131-R131-S131-T131-U131</f>
        <v>0</v>
      </c>
      <c r="CL131" s="163"/>
      <c r="CM131" s="68"/>
      <c r="CN131" s="20"/>
      <c r="CQ131" s="177">
        <f t="shared" si="155"/>
        <v>67.599999999999994</v>
      </c>
      <c r="CR131" s="177">
        <f t="shared" si="156"/>
        <v>0</v>
      </c>
    </row>
    <row r="132" spans="1:96" ht="20.25" x14ac:dyDescent="0.3">
      <c r="A132" s="44" t="s">
        <v>525</v>
      </c>
      <c r="B132" s="51" t="s">
        <v>77</v>
      </c>
      <c r="C132" s="111" t="s">
        <v>160</v>
      </c>
      <c r="D132" s="20" t="s">
        <v>263</v>
      </c>
      <c r="E132" s="21" t="s">
        <v>483</v>
      </c>
      <c r="F132" s="21" t="str">
        <f>IF(K132&gt;0,2018,IF(AC132&gt;0,2019,IF(AE132&gt;0,2020,IF(AG132&gt;0,2021,IF(AI132&gt;0,2022,IF(AK132&gt;0,2023,IF(AM132&gt;0,2024,"нд")))))))</f>
        <v>нд</v>
      </c>
      <c r="G132" s="46">
        <f>IF(AND(L132-(K132+AB132+AD132+AF132+AH132+AJ132+AL132)&lt;0.1,L132-(K132+AB132+AD132+AF132+AH132+AJ132+AL132)&gt;0.00001),"Ошибка в -",IF((K132+AB132+AD132+AF132+AH132+AJ132+AL132)&gt;L132,"Ошибка в +",IF(L132&gt;(K132+AB132+AD132+AF132+AH132+AJ132+AL132),2025,IF(AL132&gt;0,2024,IF(AJ132&gt;0,2023,IF(AH132&gt;0,2022,IF(AF132&gt;0,2021,IF(AD132&gt;0,2020,IF(AB132&gt;0,2019,IF(K132&gt;0,2018,"нд"))))))))))</f>
        <v>2023</v>
      </c>
      <c r="H132" s="46" t="str">
        <f>IF(AND((Q132-(K132+AC132+AE132+AG132+AI132+AK132+AM132))&lt;0.1,Q132-(K132+AC132+AE132+AG132+AI132+AK132+AM132)&gt;0.0001),"Ошибка в -",IF((K132+AC132+AE132+AG132+AI132+AK132+AM132)&gt;Q132,"Ошибка в +",IF(Q132&gt;(K132+AC132+AE132+AG132+AI132+AK132+AM132),2025,IF(AM132&gt;0,2024,IF(AK132&gt;0,2023,IF(AI132&gt;0,2022,IF(AG132&gt;0,2021,IF(AE132&gt;0,2020,IF(AC132&gt;0,2019,IF(K132&gt;0,2018,"нд"))))))))))</f>
        <v>нд</v>
      </c>
      <c r="I132" s="22" t="s">
        <v>131</v>
      </c>
      <c r="J132" s="20" t="s">
        <v>131</v>
      </c>
      <c r="K132" s="20">
        <v>0</v>
      </c>
      <c r="L132" s="20">
        <f t="shared" si="176"/>
        <v>76</v>
      </c>
      <c r="M132" s="20">
        <v>5.32</v>
      </c>
      <c r="N132" s="20">
        <v>65.36</v>
      </c>
      <c r="O132" s="20">
        <v>0</v>
      </c>
      <c r="P132" s="20">
        <v>5.32</v>
      </c>
      <c r="Q132" s="20">
        <v>0</v>
      </c>
      <c r="R132" s="20">
        <f t="shared" si="201"/>
        <v>0</v>
      </c>
      <c r="S132" s="20">
        <f t="shared" si="202"/>
        <v>0</v>
      </c>
      <c r="T132" s="20">
        <f t="shared" si="203"/>
        <v>0</v>
      </c>
      <c r="U132" s="20">
        <f t="shared" si="204"/>
        <v>0</v>
      </c>
      <c r="V132" s="20">
        <v>0</v>
      </c>
      <c r="W132" s="20">
        <f>L132-K132</f>
        <v>76</v>
      </c>
      <c r="X132" s="20"/>
      <c r="Y132" s="20">
        <f>W132-(AB132+AD132+AF132)</f>
        <v>76</v>
      </c>
      <c r="Z132" s="28"/>
      <c r="AA132" s="20">
        <f>Q132-(K132+AC132+AE132+AG132)</f>
        <v>0</v>
      </c>
      <c r="AB132" s="20">
        <v>0</v>
      </c>
      <c r="AC132" s="20">
        <v>0</v>
      </c>
      <c r="AD132" s="20"/>
      <c r="AE132" s="20"/>
      <c r="AF132" s="20"/>
      <c r="AG132" s="20"/>
      <c r="AH132" s="20">
        <v>20.399999999999999</v>
      </c>
      <c r="AI132" s="20"/>
      <c r="AJ132" s="20">
        <v>55.6</v>
      </c>
      <c r="AK132" s="20"/>
      <c r="AL132" s="20"/>
      <c r="AM132" s="20"/>
      <c r="AN132" s="20">
        <f t="shared" si="184"/>
        <v>76</v>
      </c>
      <c r="AO132" s="20">
        <f t="shared" si="184"/>
        <v>0</v>
      </c>
      <c r="AP132" s="94" t="s">
        <v>550</v>
      </c>
      <c r="AQ132" s="86"/>
      <c r="AR132" s="85">
        <f>L132-(K132+AB132+AD132+AF132+AH132+AJ132+AL132)</f>
        <v>0</v>
      </c>
      <c r="AS132" s="85">
        <f>Q132-(K132+AC132+AE132+AG132+AI132+AK132+AM132)</f>
        <v>0</v>
      </c>
      <c r="AT132" s="113">
        <f>Q132-L132</f>
        <v>-76</v>
      </c>
      <c r="AV132" s="105">
        <f t="shared" si="165"/>
        <v>0</v>
      </c>
      <c r="AX132" s="31"/>
      <c r="AY132" s="15"/>
      <c r="AZ132" s="118"/>
      <c r="BA132" s="118"/>
      <c r="BB132" s="118"/>
      <c r="BC132" s="118"/>
      <c r="BD132" s="8"/>
      <c r="BE132" s="118">
        <f t="shared" si="157"/>
        <v>0</v>
      </c>
      <c r="BF132" s="118">
        <f t="shared" si="158"/>
        <v>0</v>
      </c>
      <c r="BG132" s="118">
        <f t="shared" si="159"/>
        <v>0</v>
      </c>
      <c r="BH132" s="118">
        <f t="shared" si="160"/>
        <v>0</v>
      </c>
      <c r="BI132" s="122">
        <f t="shared" si="161"/>
        <v>0</v>
      </c>
      <c r="BJ132" s="118">
        <f t="shared" si="208"/>
        <v>0</v>
      </c>
      <c r="BK132" s="108" t="s">
        <v>131</v>
      </c>
      <c r="BL132" s="8" t="b">
        <f t="shared" si="209"/>
        <v>1</v>
      </c>
      <c r="BM132" s="128">
        <f t="shared" si="145"/>
        <v>0</v>
      </c>
      <c r="BN132" s="129">
        <f t="shared" si="220"/>
        <v>0</v>
      </c>
      <c r="BR132" s="73">
        <f>K132/$BR$15</f>
        <v>0</v>
      </c>
      <c r="BS132" s="73">
        <f>AC132/$BS$15</f>
        <v>0</v>
      </c>
      <c r="BT132" s="73">
        <f>AE132/$BT$15</f>
        <v>0</v>
      </c>
      <c r="BU132" s="73">
        <f>AG132/$BU$15</f>
        <v>0</v>
      </c>
      <c r="BV132" s="73">
        <f>AI132/$BV$15</f>
        <v>0</v>
      </c>
      <c r="BW132" s="73">
        <f>AK132/$BW$15</f>
        <v>0</v>
      </c>
      <c r="BX132" s="73">
        <f>AM132/$BX$15</f>
        <v>0</v>
      </c>
      <c r="BY132" s="73">
        <f>(Q132-K132-AC132-AE132-AG132-AI132-AK132-AM132)/$BY$15</f>
        <v>0</v>
      </c>
      <c r="BZ132" s="74">
        <f t="shared" si="228"/>
        <v>0</v>
      </c>
      <c r="CB132" s="75">
        <f>((Q132-(K132+AC132+AE132+AG132+AI132+AK132+AM132))/$BY$15+K132/$BR$15+AC132/$BS$15+AE132/$BT$15+AG132/$BU$15+AI132/$BV$15+AK132/$BW$15+AM132/$BX$15)*1.2</f>
        <v>0</v>
      </c>
      <c r="CE132" s="8"/>
      <c r="CJ132" s="70">
        <f>Q132-R132-S132-T132-U132</f>
        <v>0</v>
      </c>
      <c r="CL132" s="163"/>
      <c r="CM132" s="68"/>
      <c r="CN132" s="20"/>
      <c r="CQ132" s="177">
        <f t="shared" si="155"/>
        <v>76</v>
      </c>
      <c r="CR132" s="177">
        <f t="shared" si="156"/>
        <v>0</v>
      </c>
    </row>
    <row r="133" spans="1:96" ht="36.75" customHeight="1" x14ac:dyDescent="0.3">
      <c r="A133" s="44" t="s">
        <v>525</v>
      </c>
      <c r="B133" s="51" t="s">
        <v>77</v>
      </c>
      <c r="C133" s="111" t="s">
        <v>368</v>
      </c>
      <c r="D133" s="28" t="s">
        <v>435</v>
      </c>
      <c r="E133" s="21" t="s">
        <v>483</v>
      </c>
      <c r="F133" s="21" t="str">
        <f>IF(K133&gt;0,2018,IF(AC133&gt;0,2019,IF(AE133&gt;0,2020,IF(AG133&gt;0,2021,IF(AI133&gt;0,2022,IF(AK133&gt;0,2023,IF(AM133&gt;0,2024,"нд")))))))</f>
        <v>нд</v>
      </c>
      <c r="G133" s="46">
        <f>IF(AND(L133-(K133+AB133+AD133+AF133+AH133+AJ133+AL133)&lt;0.1,L133-(K133+AB133+AD133+AF133+AH133+AJ133+AL133)&gt;0.00001),"Ошибка в -",IF((K133+AB133+AD133+AF133+AH133+AJ133+AL133)&gt;L133,"Ошибка в +",IF(L133&gt;(K133+AB133+AD133+AF133+AH133+AJ133+AL133),2025,IF(AL133&gt;0,2024,IF(AJ133&gt;0,2023,IF(AH133&gt;0,2022,IF(AF133&gt;0,2021,IF(AD133&gt;0,2020,IF(AB133&gt;0,2019,IF(K133&gt;0,2018,"нд"))))))))))</f>
        <v>2022</v>
      </c>
      <c r="H133" s="46" t="str">
        <f>IF(AND((Q133-(K133+AC133+AE133+AG133+AI133+AK133+AM133))&lt;0.1,Q133-(K133+AC133+AE133+AG133+AI133+AK133+AM133)&gt;0.0001),"Ошибка в -",IF((K133+AC133+AE133+AG133+AI133+AK133+AM133)&gt;Q133,"Ошибка в +",IF(Q133&gt;(K133+AC133+AE133+AG133+AI133+AK133+AM133),2025,IF(AM133&gt;0,2024,IF(AK133&gt;0,2023,IF(AI133&gt;0,2022,IF(AG133&gt;0,2021,IF(AE133&gt;0,2020,IF(AC133&gt;0,2019,IF(K133&gt;0,2018,"нд"))))))))))</f>
        <v>нд</v>
      </c>
      <c r="I133" s="22" t="s">
        <v>131</v>
      </c>
      <c r="J133" s="20" t="s">
        <v>131</v>
      </c>
      <c r="K133" s="20">
        <v>0</v>
      </c>
      <c r="L133" s="20">
        <f t="shared" si="176"/>
        <v>74.800000000000011</v>
      </c>
      <c r="M133" s="20">
        <v>5.2360000000000007</v>
      </c>
      <c r="N133" s="20">
        <v>64.328000000000003</v>
      </c>
      <c r="O133" s="20">
        <v>0</v>
      </c>
      <c r="P133" s="20">
        <v>5.2360000000000007</v>
      </c>
      <c r="Q133" s="20">
        <v>0</v>
      </c>
      <c r="R133" s="20">
        <f t="shared" si="201"/>
        <v>0</v>
      </c>
      <c r="S133" s="20">
        <f t="shared" si="202"/>
        <v>0</v>
      </c>
      <c r="T133" s="20">
        <f t="shared" si="203"/>
        <v>0</v>
      </c>
      <c r="U133" s="20">
        <f t="shared" si="204"/>
        <v>0</v>
      </c>
      <c r="V133" s="20">
        <v>0</v>
      </c>
      <c r="W133" s="20">
        <f>L133-K133</f>
        <v>74.800000000000011</v>
      </c>
      <c r="X133" s="20"/>
      <c r="Y133" s="20">
        <f>W133-(AB133+AD133+AF133)</f>
        <v>74.800000000000011</v>
      </c>
      <c r="Z133" s="28"/>
      <c r="AA133" s="20">
        <f>Q133-(K133+AC133+AE133+AG133)</f>
        <v>0</v>
      </c>
      <c r="AB133" s="20">
        <v>0</v>
      </c>
      <c r="AC133" s="20">
        <v>0</v>
      </c>
      <c r="AD133" s="20"/>
      <c r="AE133" s="20"/>
      <c r="AF133" s="20"/>
      <c r="AG133" s="20"/>
      <c r="AH133" s="20">
        <v>74.8</v>
      </c>
      <c r="AI133" s="20"/>
      <c r="AJ133" s="20"/>
      <c r="AK133" s="20"/>
      <c r="AL133" s="20"/>
      <c r="AM133" s="20"/>
      <c r="AN133" s="20">
        <f t="shared" si="184"/>
        <v>74.8</v>
      </c>
      <c r="AO133" s="20">
        <f t="shared" si="184"/>
        <v>0</v>
      </c>
      <c r="AP133" s="94" t="s">
        <v>550</v>
      </c>
      <c r="AQ133" s="86"/>
      <c r="AR133" s="85">
        <f>L133-(K133+AB133+AD133+AF133+AH133+AJ133+AL133)</f>
        <v>0</v>
      </c>
      <c r="AS133" s="85">
        <f>Q133-(K133+AC133+AE133+AG133+AI133+AK133+AM133)</f>
        <v>0</v>
      </c>
      <c r="AT133" s="113">
        <f>Q133-L133</f>
        <v>-74.800000000000011</v>
      </c>
      <c r="AV133" s="105">
        <f t="shared" si="165"/>
        <v>0</v>
      </c>
      <c r="AX133" s="31"/>
      <c r="AY133" s="15"/>
      <c r="AZ133" s="118"/>
      <c r="BA133" s="118"/>
      <c r="BB133" s="118"/>
      <c r="BC133" s="118"/>
      <c r="BD133" s="8"/>
      <c r="BE133" s="118">
        <f t="shared" si="157"/>
        <v>0</v>
      </c>
      <c r="BF133" s="118">
        <f t="shared" si="158"/>
        <v>0</v>
      </c>
      <c r="BG133" s="118">
        <f t="shared" si="159"/>
        <v>0</v>
      </c>
      <c r="BH133" s="118">
        <f t="shared" si="160"/>
        <v>0</v>
      </c>
      <c r="BI133" s="122">
        <f t="shared" si="161"/>
        <v>0</v>
      </c>
      <c r="BJ133" s="118">
        <f t="shared" si="208"/>
        <v>0</v>
      </c>
      <c r="BK133" s="108" t="s">
        <v>131</v>
      </c>
      <c r="BL133" s="8" t="b">
        <f t="shared" si="209"/>
        <v>1</v>
      </c>
      <c r="BM133" s="128">
        <f t="shared" si="145"/>
        <v>0</v>
      </c>
      <c r="BN133" s="129">
        <f t="shared" si="220"/>
        <v>0</v>
      </c>
      <c r="BR133" s="73">
        <f>K133/$BR$15</f>
        <v>0</v>
      </c>
      <c r="BS133" s="73">
        <f>AC133/$BS$15</f>
        <v>0</v>
      </c>
      <c r="BT133" s="73">
        <f>AE133/$BT$15</f>
        <v>0</v>
      </c>
      <c r="BU133" s="73">
        <f>AG133/$BU$15</f>
        <v>0</v>
      </c>
      <c r="BV133" s="73">
        <f>AI133/$BV$15</f>
        <v>0</v>
      </c>
      <c r="BW133" s="73">
        <f>AK133/$BW$15</f>
        <v>0</v>
      </c>
      <c r="BX133" s="73">
        <f>AM133/$BX$15</f>
        <v>0</v>
      </c>
      <c r="BY133" s="73">
        <f>(Q133-K133-AC133-AE133-AG133-AI133-AK133-AM133)/$BY$15</f>
        <v>0</v>
      </c>
      <c r="BZ133" s="74">
        <f t="shared" si="228"/>
        <v>0</v>
      </c>
      <c r="CB133" s="75">
        <f>((Q133-(K133+AC133+AE133+AG133+AI133+AK133+AM133))/$BY$15+K133/$BR$15+AC133/$BS$15+AE133/$BT$15+AG133/$BU$15+AI133/$BV$15+AK133/$BW$15+AM133/$BX$15)*1.2</f>
        <v>0</v>
      </c>
      <c r="CE133" s="8"/>
      <c r="CJ133" s="70">
        <f>Q133-R133-S133-T133-U133</f>
        <v>0</v>
      </c>
      <c r="CL133" s="163"/>
      <c r="CM133" s="68"/>
      <c r="CN133" s="20"/>
      <c r="CQ133" s="177">
        <f t="shared" si="155"/>
        <v>74.8</v>
      </c>
      <c r="CR133" s="177">
        <f t="shared" si="156"/>
        <v>0</v>
      </c>
    </row>
    <row r="134" spans="1:96" ht="50.25" customHeight="1" x14ac:dyDescent="0.3">
      <c r="A134" s="44" t="s">
        <v>525</v>
      </c>
      <c r="B134" s="51" t="s">
        <v>77</v>
      </c>
      <c r="C134" s="111" t="s">
        <v>369</v>
      </c>
      <c r="D134" s="28" t="s">
        <v>436</v>
      </c>
      <c r="E134" s="21" t="s">
        <v>483</v>
      </c>
      <c r="F134" s="21" t="str">
        <f>IF(K134&gt;0,2018,IF(AC134&gt;0,2019,IF(AE134&gt;0,2020,IF(AG134&gt;0,2021,IF(AI134&gt;0,2022,IF(AK134&gt;0,2023,IF(AM134&gt;0,2024,"нд")))))))</f>
        <v>нд</v>
      </c>
      <c r="G134" s="46">
        <f>IF(AND(L134-(K134+AB134+AD134+AF134+AH134+AJ134+AL134)&lt;0.1,L134-(K134+AB134+AD134+AF134+AH134+AJ134+AL134)&gt;0.00001),"Ошибка в -",IF((K134+AB134+AD134+AF134+AH134+AJ134+AL134)&gt;L134,"Ошибка в +",IF(L134&gt;(K134+AB134+AD134+AF134+AH134+AJ134+AL134),2025,IF(AL134&gt;0,2024,IF(AJ134&gt;0,2023,IF(AH134&gt;0,2022,IF(AF134&gt;0,2021,IF(AD134&gt;0,2020,IF(AB134&gt;0,2019,IF(K134&gt;0,2018,"нд"))))))))))</f>
        <v>2022</v>
      </c>
      <c r="H134" s="46" t="str">
        <f>IF(AND((Q134-(K134+AC134+AE134+AG134+AI134+AK134+AM134))&lt;0.1,Q134-(K134+AC134+AE134+AG134+AI134+AK134+AM134)&gt;0.0001),"Ошибка в -",IF((K134+AC134+AE134+AG134+AI134+AK134+AM134)&gt;Q134,"Ошибка в +",IF(Q134&gt;(K134+AC134+AE134+AG134+AI134+AK134+AM134),2025,IF(AM134&gt;0,2024,IF(AK134&gt;0,2023,IF(AI134&gt;0,2022,IF(AG134&gt;0,2021,IF(AE134&gt;0,2020,IF(AC134&gt;0,2019,IF(K134&gt;0,2018,"нд"))))))))))</f>
        <v>нд</v>
      </c>
      <c r="I134" s="22" t="s">
        <v>131</v>
      </c>
      <c r="J134" s="20" t="s">
        <v>131</v>
      </c>
      <c r="K134" s="20">
        <v>0</v>
      </c>
      <c r="L134" s="20">
        <f t="shared" si="176"/>
        <v>12</v>
      </c>
      <c r="M134" s="20">
        <v>0.84000000000000008</v>
      </c>
      <c r="N134" s="20">
        <v>10.32</v>
      </c>
      <c r="O134" s="20">
        <v>0</v>
      </c>
      <c r="P134" s="20">
        <v>0.84000000000000008</v>
      </c>
      <c r="Q134" s="20">
        <v>0</v>
      </c>
      <c r="R134" s="20">
        <f t="shared" si="201"/>
        <v>0</v>
      </c>
      <c r="S134" s="20">
        <f t="shared" si="202"/>
        <v>0</v>
      </c>
      <c r="T134" s="20">
        <f t="shared" si="203"/>
        <v>0</v>
      </c>
      <c r="U134" s="20">
        <f t="shared" si="204"/>
        <v>0</v>
      </c>
      <c r="V134" s="20">
        <v>0</v>
      </c>
      <c r="W134" s="20">
        <f>L134-K134</f>
        <v>12</v>
      </c>
      <c r="X134" s="20"/>
      <c r="Y134" s="20">
        <f>W134-(AB134+AD134+AF134)</f>
        <v>12</v>
      </c>
      <c r="Z134" s="28"/>
      <c r="AA134" s="20">
        <f>Q134-(K134+AC134+AE134+AG134)</f>
        <v>0</v>
      </c>
      <c r="AB134" s="20">
        <v>0</v>
      </c>
      <c r="AC134" s="20">
        <v>0</v>
      </c>
      <c r="AD134" s="20"/>
      <c r="AE134" s="20"/>
      <c r="AF134" s="20"/>
      <c r="AG134" s="20"/>
      <c r="AH134" s="20">
        <v>12</v>
      </c>
      <c r="AI134" s="20"/>
      <c r="AJ134" s="20"/>
      <c r="AK134" s="20"/>
      <c r="AL134" s="20"/>
      <c r="AM134" s="20"/>
      <c r="AN134" s="20">
        <f t="shared" si="184"/>
        <v>12</v>
      </c>
      <c r="AO134" s="20">
        <f t="shared" si="184"/>
        <v>0</v>
      </c>
      <c r="AP134" s="94" t="s">
        <v>550</v>
      </c>
      <c r="AQ134" s="86"/>
      <c r="AR134" s="85">
        <f>L134-(K134+AB134+AD134+AF134+AH134+AJ134+AL134)</f>
        <v>0</v>
      </c>
      <c r="AS134" s="85">
        <f>Q134-(K134+AC134+AE134+AG134+AI134+AK134+AM134)</f>
        <v>0</v>
      </c>
      <c r="AT134" s="113">
        <f>Q134-L134</f>
        <v>-12</v>
      </c>
      <c r="AV134" s="105">
        <f t="shared" si="165"/>
        <v>0</v>
      </c>
      <c r="AX134" s="31"/>
      <c r="AY134" s="15"/>
      <c r="AZ134" s="118"/>
      <c r="BA134" s="118"/>
      <c r="BB134" s="118"/>
      <c r="BC134" s="118"/>
      <c r="BD134" s="8"/>
      <c r="BE134" s="118">
        <f t="shared" si="157"/>
        <v>0</v>
      </c>
      <c r="BF134" s="118">
        <f t="shared" si="158"/>
        <v>0</v>
      </c>
      <c r="BG134" s="118">
        <f t="shared" si="159"/>
        <v>0</v>
      </c>
      <c r="BH134" s="118">
        <f t="shared" si="160"/>
        <v>0</v>
      </c>
      <c r="BI134" s="122">
        <f t="shared" si="161"/>
        <v>0</v>
      </c>
      <c r="BJ134" s="118">
        <f t="shared" si="208"/>
        <v>0</v>
      </c>
      <c r="BK134" s="108" t="s">
        <v>131</v>
      </c>
      <c r="BL134" s="8" t="b">
        <f t="shared" si="209"/>
        <v>1</v>
      </c>
      <c r="BM134" s="128">
        <f t="shared" si="145"/>
        <v>0</v>
      </c>
      <c r="BN134" s="129">
        <f t="shared" si="220"/>
        <v>0</v>
      </c>
      <c r="BR134" s="73">
        <f>K134/$BR$15</f>
        <v>0</v>
      </c>
      <c r="BS134" s="73">
        <f>AC134/$BS$15</f>
        <v>0</v>
      </c>
      <c r="BT134" s="73">
        <f>AE134/$BT$15</f>
        <v>0</v>
      </c>
      <c r="BU134" s="73">
        <f>AG134/$BU$15</f>
        <v>0</v>
      </c>
      <c r="BV134" s="73">
        <f>AI134/$BV$15</f>
        <v>0</v>
      </c>
      <c r="BW134" s="73">
        <f>AK134/$BW$15</f>
        <v>0</v>
      </c>
      <c r="BX134" s="73">
        <f>AM134/$BX$15</f>
        <v>0</v>
      </c>
      <c r="BY134" s="73">
        <f>(Q134-K134-AC134-AE134-AG134-AI134-AK134-AM134)/$BY$15</f>
        <v>0</v>
      </c>
      <c r="BZ134" s="74">
        <f t="shared" si="228"/>
        <v>0</v>
      </c>
      <c r="CB134" s="75">
        <f>((Q134-(K134+AC134+AE134+AG134+AI134+AK134+AM134))/$BY$15+K134/$BR$15+AC134/$BS$15+AE134/$BT$15+AG134/$BU$15+AI134/$BV$15+AK134/$BW$15+AM134/$BX$15)*1.2</f>
        <v>0</v>
      </c>
      <c r="CE134" s="8"/>
      <c r="CJ134" s="70">
        <f>Q134-R134-S134-T134-U134</f>
        <v>0</v>
      </c>
      <c r="CL134" s="163"/>
      <c r="CM134" s="68"/>
      <c r="CN134" s="20"/>
      <c r="CQ134" s="177">
        <f t="shared" si="155"/>
        <v>12</v>
      </c>
      <c r="CR134" s="177">
        <f t="shared" si="156"/>
        <v>0</v>
      </c>
    </row>
    <row r="135" spans="1:96" ht="52.5" customHeight="1" x14ac:dyDescent="0.3">
      <c r="A135" s="44" t="s">
        <v>525</v>
      </c>
      <c r="B135" s="51" t="s">
        <v>77</v>
      </c>
      <c r="C135" s="71" t="s">
        <v>180</v>
      </c>
      <c r="D135" s="20" t="s">
        <v>250</v>
      </c>
      <c r="E135" s="21" t="s">
        <v>483</v>
      </c>
      <c r="F135" s="21" t="str">
        <f t="shared" ref="F135:F140" si="230">IF(K135&gt;0,2018,IF(AC135&gt;0,2019,IF(AE135&gt;0,2020,IF(AG135&gt;0,2021,IF(AI135&gt;0,2022,IF(AK135&gt;0,2023,IF(AM135&gt;0,2024,"нд")))))))</f>
        <v>нд</v>
      </c>
      <c r="G135" s="46" t="str">
        <f t="shared" ref="G135:G140" si="231">IF(AND(L135-(K135+AB135+AD135+AF135+AH135+AJ135+AL135)&lt;0.1,L135-(K135+AB135+AD135+AF135+AH135+AJ135+AL135)&gt;0.00001),"Ошибка в -",IF((K135+AB135+AD135+AF135+AH135+AJ135+AL135)&gt;L135,"Ошибка в +",IF(L135&gt;(K135+AB135+AD135+AF135+AH135+AJ135+AL135),2025,IF(AL135&gt;0,2024,IF(AJ135&gt;0,2023,IF(AH135&gt;0,2022,IF(AF135&gt;0,2021,IF(AD135&gt;0,2020,IF(AB135&gt;0,2019,IF(K135&gt;0,2018,"нд"))))))))))</f>
        <v>Ошибка в +</v>
      </c>
      <c r="H135" s="46" t="str">
        <f t="shared" ref="H135:H140" si="232">IF(AND((Q135-(K135+AC135+AE135+AG135+AI135+AK135+AM135))&lt;0.1,Q135-(K135+AC135+AE135+AG135+AI135+AK135+AM135)&gt;0.0001),"Ошибка в -",IF((K135+AC135+AE135+AG135+AI135+AK135+AM135)&gt;Q135,"Ошибка в +",IF(Q135&gt;(K135+AC135+AE135+AG135+AI135+AK135+AM135),2025,IF(AM135&gt;0,2024,IF(AK135&gt;0,2023,IF(AI135&gt;0,2022,IF(AG135&gt;0,2021,IF(AE135&gt;0,2020,IF(AC135&gt;0,2019,IF(K135&gt;0,2018,"нд"))))))))))</f>
        <v>нд</v>
      </c>
      <c r="I135" s="22" t="s">
        <v>131</v>
      </c>
      <c r="J135" s="20" t="s">
        <v>131</v>
      </c>
      <c r="K135" s="20">
        <v>0</v>
      </c>
      <c r="L135" s="20">
        <f t="shared" si="176"/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f t="shared" si="201"/>
        <v>0</v>
      </c>
      <c r="S135" s="20">
        <f t="shared" si="202"/>
        <v>0</v>
      </c>
      <c r="T135" s="20">
        <f t="shared" si="203"/>
        <v>0</v>
      </c>
      <c r="U135" s="20">
        <f t="shared" si="204"/>
        <v>0</v>
      </c>
      <c r="V135" s="20">
        <v>0</v>
      </c>
      <c r="W135" s="20">
        <f t="shared" si="205"/>
        <v>0</v>
      </c>
      <c r="X135" s="20"/>
      <c r="Y135" s="20">
        <f t="shared" si="206"/>
        <v>-98.6</v>
      </c>
      <c r="Z135" s="28"/>
      <c r="AA135" s="20">
        <f t="shared" si="207"/>
        <v>0</v>
      </c>
      <c r="AB135" s="20"/>
      <c r="AC135" s="20"/>
      <c r="AD135" s="174">
        <v>98.6</v>
      </c>
      <c r="AE135" s="20"/>
      <c r="AF135" s="20"/>
      <c r="AG135" s="20"/>
      <c r="AH135" s="20"/>
      <c r="AI135" s="20"/>
      <c r="AJ135" s="20"/>
      <c r="AK135" s="20"/>
      <c r="AL135" s="20"/>
      <c r="AM135" s="20"/>
      <c r="AN135" s="20">
        <f t="shared" si="184"/>
        <v>98.6</v>
      </c>
      <c r="AO135" s="20">
        <f t="shared" si="185"/>
        <v>0</v>
      </c>
      <c r="AP135" s="94" t="s">
        <v>499</v>
      </c>
      <c r="AQ135" s="86"/>
      <c r="AR135" s="85">
        <f t="shared" si="163"/>
        <v>-98.6</v>
      </c>
      <c r="AS135" s="85">
        <f t="shared" si="164"/>
        <v>0</v>
      </c>
      <c r="AT135" s="113">
        <f t="shared" si="166"/>
        <v>0</v>
      </c>
      <c r="AV135" s="105">
        <f t="shared" si="165"/>
        <v>0</v>
      </c>
      <c r="AX135" s="31"/>
      <c r="AY135" s="15"/>
      <c r="AZ135" s="118"/>
      <c r="BA135" s="118"/>
      <c r="BB135" s="118"/>
      <c r="BC135" s="118"/>
      <c r="BD135" s="8"/>
      <c r="BE135" s="118">
        <f t="shared" si="157"/>
        <v>0</v>
      </c>
      <c r="BF135" s="118">
        <f t="shared" si="158"/>
        <v>0</v>
      </c>
      <c r="BG135" s="118">
        <f t="shared" si="159"/>
        <v>0</v>
      </c>
      <c r="BH135" s="118">
        <f t="shared" si="160"/>
        <v>0</v>
      </c>
      <c r="BI135" s="122">
        <f t="shared" si="161"/>
        <v>0</v>
      </c>
      <c r="BJ135" s="118">
        <f t="shared" si="208"/>
        <v>0</v>
      </c>
      <c r="BK135" s="108" t="s">
        <v>131</v>
      </c>
      <c r="BL135" s="8" t="b">
        <f t="shared" si="209"/>
        <v>1</v>
      </c>
      <c r="BM135" s="128">
        <f t="shared" si="145"/>
        <v>0</v>
      </c>
      <c r="BN135" s="129">
        <f t="shared" si="220"/>
        <v>0</v>
      </c>
      <c r="BR135" s="73">
        <f t="shared" si="210"/>
        <v>0</v>
      </c>
      <c r="BS135" s="73">
        <f t="shared" si="211"/>
        <v>0</v>
      </c>
      <c r="BT135" s="73">
        <f t="shared" si="222"/>
        <v>0</v>
      </c>
      <c r="BU135" s="73">
        <f t="shared" si="223"/>
        <v>0</v>
      </c>
      <c r="BV135" s="73">
        <f t="shared" si="224"/>
        <v>0</v>
      </c>
      <c r="BW135" s="73">
        <f t="shared" si="225"/>
        <v>0</v>
      </c>
      <c r="BX135" s="73">
        <f t="shared" si="226"/>
        <v>0</v>
      </c>
      <c r="BY135" s="73">
        <f t="shared" si="227"/>
        <v>0</v>
      </c>
      <c r="BZ135" s="74">
        <f t="shared" si="228"/>
        <v>0</v>
      </c>
      <c r="CB135" s="75">
        <f t="shared" si="154"/>
        <v>0</v>
      </c>
      <c r="CE135" s="8"/>
      <c r="CJ135" s="70">
        <f t="shared" si="162"/>
        <v>0</v>
      </c>
      <c r="CL135" s="163"/>
      <c r="CM135" s="68"/>
      <c r="CN135" s="20">
        <v>98.6</v>
      </c>
      <c r="CQ135" s="177">
        <f t="shared" si="155"/>
        <v>0</v>
      </c>
      <c r="CR135" s="177">
        <f t="shared" si="156"/>
        <v>-98.6</v>
      </c>
    </row>
    <row r="136" spans="1:96" ht="55.5" customHeight="1" x14ac:dyDescent="0.3">
      <c r="A136" s="44" t="s">
        <v>525</v>
      </c>
      <c r="B136" s="51" t="s">
        <v>77</v>
      </c>
      <c r="C136" s="71" t="s">
        <v>363</v>
      </c>
      <c r="D136" s="20" t="s">
        <v>251</v>
      </c>
      <c r="E136" s="21" t="s">
        <v>483</v>
      </c>
      <c r="F136" s="21" t="str">
        <f t="shared" si="230"/>
        <v>нд</v>
      </c>
      <c r="G136" s="46" t="str">
        <f t="shared" si="231"/>
        <v>нд</v>
      </c>
      <c r="H136" s="46" t="str">
        <f t="shared" si="232"/>
        <v>нд</v>
      </c>
      <c r="I136" s="22" t="s">
        <v>131</v>
      </c>
      <c r="J136" s="20" t="s">
        <v>131</v>
      </c>
      <c r="K136" s="20">
        <v>0</v>
      </c>
      <c r="L136" s="20">
        <f t="shared" si="176"/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f t="shared" si="201"/>
        <v>0</v>
      </c>
      <c r="S136" s="20">
        <f t="shared" si="202"/>
        <v>0</v>
      </c>
      <c r="T136" s="20">
        <f t="shared" si="203"/>
        <v>0</v>
      </c>
      <c r="U136" s="20">
        <f t="shared" si="204"/>
        <v>0</v>
      </c>
      <c r="V136" s="20">
        <v>0</v>
      </c>
      <c r="W136" s="20">
        <f t="shared" si="205"/>
        <v>0</v>
      </c>
      <c r="X136" s="20"/>
      <c r="Y136" s="20">
        <f t="shared" si="206"/>
        <v>0</v>
      </c>
      <c r="Z136" s="28"/>
      <c r="AA136" s="20">
        <f t="shared" si="207"/>
        <v>0</v>
      </c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>
        <f t="shared" si="184"/>
        <v>0</v>
      </c>
      <c r="AO136" s="20">
        <f t="shared" si="185"/>
        <v>0</v>
      </c>
      <c r="AP136" s="94" t="s">
        <v>499</v>
      </c>
      <c r="AQ136" s="86"/>
      <c r="AR136" s="85">
        <f t="shared" si="163"/>
        <v>0</v>
      </c>
      <c r="AS136" s="85">
        <f t="shared" si="164"/>
        <v>0</v>
      </c>
      <c r="AT136" s="113">
        <f t="shared" si="166"/>
        <v>0</v>
      </c>
      <c r="AV136" s="105">
        <f t="shared" si="165"/>
        <v>0</v>
      </c>
      <c r="AX136" s="31"/>
      <c r="AY136" s="15"/>
      <c r="AZ136" s="118"/>
      <c r="BA136" s="118"/>
      <c r="BB136" s="118"/>
      <c r="BC136" s="118"/>
      <c r="BD136" s="8"/>
      <c r="BE136" s="118">
        <f t="shared" si="157"/>
        <v>0</v>
      </c>
      <c r="BF136" s="118">
        <f t="shared" si="158"/>
        <v>0</v>
      </c>
      <c r="BG136" s="118">
        <f t="shared" si="159"/>
        <v>0</v>
      </c>
      <c r="BH136" s="118">
        <f t="shared" si="160"/>
        <v>0</v>
      </c>
      <c r="BI136" s="122">
        <f t="shared" si="161"/>
        <v>0</v>
      </c>
      <c r="BJ136" s="118">
        <f t="shared" si="208"/>
        <v>0</v>
      </c>
      <c r="BK136" s="108" t="s">
        <v>131</v>
      </c>
      <c r="BL136" s="8" t="b">
        <f t="shared" si="209"/>
        <v>1</v>
      </c>
      <c r="BM136" s="128">
        <f t="shared" si="145"/>
        <v>0</v>
      </c>
      <c r="BN136" s="129">
        <f t="shared" si="220"/>
        <v>0</v>
      </c>
      <c r="BR136" s="73">
        <f t="shared" si="210"/>
        <v>0</v>
      </c>
      <c r="BS136" s="73">
        <f t="shared" si="211"/>
        <v>0</v>
      </c>
      <c r="BT136" s="73">
        <f t="shared" si="222"/>
        <v>0</v>
      </c>
      <c r="BU136" s="73">
        <f t="shared" si="223"/>
        <v>0</v>
      </c>
      <c r="BV136" s="73">
        <f t="shared" si="224"/>
        <v>0</v>
      </c>
      <c r="BW136" s="73">
        <f t="shared" si="225"/>
        <v>0</v>
      </c>
      <c r="BX136" s="73">
        <f t="shared" si="226"/>
        <v>0</v>
      </c>
      <c r="BY136" s="73">
        <f t="shared" si="227"/>
        <v>0</v>
      </c>
      <c r="BZ136" s="74">
        <f t="shared" si="228"/>
        <v>0</v>
      </c>
      <c r="CB136" s="75">
        <f t="shared" si="154"/>
        <v>0</v>
      </c>
      <c r="CE136" s="8"/>
      <c r="CJ136" s="70">
        <f t="shared" si="162"/>
        <v>0</v>
      </c>
      <c r="CL136" s="163"/>
      <c r="CM136" s="68"/>
      <c r="CN136" s="20"/>
      <c r="CQ136" s="177">
        <f t="shared" si="155"/>
        <v>0</v>
      </c>
      <c r="CR136" s="177">
        <f t="shared" si="156"/>
        <v>0</v>
      </c>
    </row>
    <row r="137" spans="1:96" ht="55.5" customHeight="1" x14ac:dyDescent="0.3">
      <c r="A137" s="44" t="s">
        <v>525</v>
      </c>
      <c r="B137" s="51" t="s">
        <v>77</v>
      </c>
      <c r="C137" s="71" t="s">
        <v>172</v>
      </c>
      <c r="D137" s="28" t="s">
        <v>310</v>
      </c>
      <c r="E137" s="21" t="s">
        <v>483</v>
      </c>
      <c r="F137" s="21" t="str">
        <f t="shared" si="230"/>
        <v>нд</v>
      </c>
      <c r="G137" s="46" t="str">
        <f t="shared" si="231"/>
        <v>Ошибка в +</v>
      </c>
      <c r="H137" s="46" t="str">
        <f t="shared" si="232"/>
        <v>нд</v>
      </c>
      <c r="I137" s="29" t="s">
        <v>131</v>
      </c>
      <c r="J137" s="28" t="s">
        <v>131</v>
      </c>
      <c r="K137" s="20">
        <v>0</v>
      </c>
      <c r="L137" s="20">
        <f t="shared" si="176"/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f t="shared" si="201"/>
        <v>0</v>
      </c>
      <c r="S137" s="20">
        <f t="shared" si="202"/>
        <v>0</v>
      </c>
      <c r="T137" s="20">
        <f t="shared" si="203"/>
        <v>0</v>
      </c>
      <c r="U137" s="20">
        <f t="shared" si="204"/>
        <v>0</v>
      </c>
      <c r="V137" s="20">
        <v>0</v>
      </c>
      <c r="W137" s="20">
        <f t="shared" si="205"/>
        <v>0</v>
      </c>
      <c r="X137" s="20"/>
      <c r="Y137" s="20">
        <f t="shared" si="206"/>
        <v>-79.099999999999994</v>
      </c>
      <c r="Z137" s="28"/>
      <c r="AA137" s="20">
        <f t="shared" si="207"/>
        <v>0</v>
      </c>
      <c r="AB137" s="28"/>
      <c r="AC137" s="20"/>
      <c r="AD137" s="176">
        <v>79.099999999999994</v>
      </c>
      <c r="AE137" s="28"/>
      <c r="AF137" s="28"/>
      <c r="AG137" s="28"/>
      <c r="AH137" s="28"/>
      <c r="AI137" s="28"/>
      <c r="AJ137" s="28"/>
      <c r="AK137" s="20"/>
      <c r="AL137" s="28"/>
      <c r="AM137" s="28"/>
      <c r="AN137" s="20">
        <f t="shared" si="184"/>
        <v>79.099999999999994</v>
      </c>
      <c r="AO137" s="20">
        <f t="shared" si="185"/>
        <v>0</v>
      </c>
      <c r="AP137" s="94" t="s">
        <v>453</v>
      </c>
      <c r="AQ137" s="86"/>
      <c r="AR137" s="85">
        <f t="shared" si="163"/>
        <v>-79.099999999999994</v>
      </c>
      <c r="AS137" s="85">
        <f t="shared" si="164"/>
        <v>0</v>
      </c>
      <c r="AT137" s="113">
        <f t="shared" si="166"/>
        <v>0</v>
      </c>
      <c r="AV137" s="105">
        <f t="shared" si="165"/>
        <v>0</v>
      </c>
      <c r="AX137" s="31"/>
      <c r="AY137" s="15"/>
      <c r="AZ137" s="118"/>
      <c r="BA137" s="118"/>
      <c r="BB137" s="118"/>
      <c r="BC137" s="118"/>
      <c r="BD137" s="8"/>
      <c r="BE137" s="118">
        <f t="shared" si="157"/>
        <v>0</v>
      </c>
      <c r="BF137" s="118">
        <f t="shared" si="158"/>
        <v>0</v>
      </c>
      <c r="BG137" s="118">
        <f t="shared" si="159"/>
        <v>0</v>
      </c>
      <c r="BH137" s="118">
        <f t="shared" si="160"/>
        <v>0</v>
      </c>
      <c r="BI137" s="122">
        <f t="shared" si="161"/>
        <v>0</v>
      </c>
      <c r="BJ137" s="118">
        <f t="shared" si="208"/>
        <v>0</v>
      </c>
      <c r="BK137" s="108" t="s">
        <v>131</v>
      </c>
      <c r="BL137" s="8" t="b">
        <f t="shared" si="209"/>
        <v>1</v>
      </c>
      <c r="BM137" s="128">
        <f t="shared" si="145"/>
        <v>0</v>
      </c>
      <c r="BN137" s="129">
        <f t="shared" si="220"/>
        <v>0</v>
      </c>
      <c r="BR137" s="73">
        <f t="shared" si="210"/>
        <v>0</v>
      </c>
      <c r="BS137" s="73">
        <f t="shared" si="211"/>
        <v>0</v>
      </c>
      <c r="BT137" s="73">
        <f t="shared" si="222"/>
        <v>0</v>
      </c>
      <c r="BU137" s="73">
        <f t="shared" si="223"/>
        <v>0</v>
      </c>
      <c r="BV137" s="73">
        <f t="shared" si="224"/>
        <v>0</v>
      </c>
      <c r="BW137" s="73">
        <f t="shared" si="225"/>
        <v>0</v>
      </c>
      <c r="BX137" s="73">
        <f t="shared" si="226"/>
        <v>0</v>
      </c>
      <c r="BY137" s="73">
        <f t="shared" si="227"/>
        <v>0</v>
      </c>
      <c r="BZ137" s="74">
        <f t="shared" si="228"/>
        <v>0</v>
      </c>
      <c r="CB137" s="75">
        <f t="shared" si="154"/>
        <v>0</v>
      </c>
      <c r="CE137" s="8"/>
      <c r="CJ137" s="70">
        <f t="shared" si="162"/>
        <v>0</v>
      </c>
      <c r="CL137" s="163"/>
      <c r="CM137" s="68"/>
      <c r="CN137" s="28">
        <v>79.099999999999994</v>
      </c>
      <c r="CQ137" s="177">
        <f t="shared" si="155"/>
        <v>0</v>
      </c>
      <c r="CR137" s="177">
        <f t="shared" si="156"/>
        <v>-79.099999999999994</v>
      </c>
    </row>
    <row r="138" spans="1:96" ht="55.5" customHeight="1" x14ac:dyDescent="0.3">
      <c r="A138" s="44" t="s">
        <v>525</v>
      </c>
      <c r="B138" s="51" t="s">
        <v>77</v>
      </c>
      <c r="C138" s="71" t="s">
        <v>161</v>
      </c>
      <c r="D138" s="20" t="s">
        <v>257</v>
      </c>
      <c r="E138" s="21" t="s">
        <v>483</v>
      </c>
      <c r="F138" s="21" t="str">
        <f t="shared" si="230"/>
        <v>нд</v>
      </c>
      <c r="G138" s="46" t="str">
        <f t="shared" si="231"/>
        <v>Ошибка в +</v>
      </c>
      <c r="H138" s="46" t="str">
        <f t="shared" si="232"/>
        <v>нд</v>
      </c>
      <c r="I138" s="22" t="s">
        <v>131</v>
      </c>
      <c r="J138" s="20" t="s">
        <v>131</v>
      </c>
      <c r="K138" s="20">
        <v>0</v>
      </c>
      <c r="L138" s="20">
        <f t="shared" si="176"/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f t="shared" si="201"/>
        <v>0</v>
      </c>
      <c r="S138" s="20">
        <f t="shared" si="202"/>
        <v>0</v>
      </c>
      <c r="T138" s="20">
        <f t="shared" si="203"/>
        <v>0</v>
      </c>
      <c r="U138" s="20">
        <f t="shared" si="204"/>
        <v>0</v>
      </c>
      <c r="V138" s="20">
        <v>0</v>
      </c>
      <c r="W138" s="20">
        <f t="shared" si="205"/>
        <v>0</v>
      </c>
      <c r="X138" s="20"/>
      <c r="Y138" s="20">
        <f t="shared" si="206"/>
        <v>-505</v>
      </c>
      <c r="Z138" s="28"/>
      <c r="AA138" s="20">
        <f t="shared" si="207"/>
        <v>0</v>
      </c>
      <c r="AB138" s="20"/>
      <c r="AC138" s="20"/>
      <c r="AD138" s="174">
        <v>505</v>
      </c>
      <c r="AE138" s="20"/>
      <c r="AF138" s="20"/>
      <c r="AG138" s="20"/>
      <c r="AH138" s="20"/>
      <c r="AI138" s="20"/>
      <c r="AJ138" s="20"/>
      <c r="AK138" s="20"/>
      <c r="AL138" s="20"/>
      <c r="AM138" s="20"/>
      <c r="AN138" s="20">
        <f t="shared" si="184"/>
        <v>505</v>
      </c>
      <c r="AO138" s="20">
        <f t="shared" si="185"/>
        <v>0</v>
      </c>
      <c r="AP138" s="94" t="s">
        <v>499</v>
      </c>
      <c r="AQ138" s="86"/>
      <c r="AR138" s="85">
        <f t="shared" si="163"/>
        <v>-505</v>
      </c>
      <c r="AS138" s="85">
        <f t="shared" si="164"/>
        <v>0</v>
      </c>
      <c r="AT138" s="113">
        <f t="shared" si="166"/>
        <v>0</v>
      </c>
      <c r="AV138" s="105">
        <f t="shared" si="165"/>
        <v>0</v>
      </c>
      <c r="AX138" s="31"/>
      <c r="AY138" s="15"/>
      <c r="AZ138" s="118"/>
      <c r="BA138" s="118"/>
      <c r="BB138" s="118"/>
      <c r="BC138" s="118"/>
      <c r="BD138" s="8"/>
      <c r="BE138" s="118">
        <f t="shared" si="157"/>
        <v>0</v>
      </c>
      <c r="BF138" s="118">
        <f t="shared" si="158"/>
        <v>0</v>
      </c>
      <c r="BG138" s="118">
        <f t="shared" si="159"/>
        <v>0</v>
      </c>
      <c r="BH138" s="118">
        <f t="shared" si="160"/>
        <v>0</v>
      </c>
      <c r="BI138" s="122">
        <f t="shared" si="161"/>
        <v>0</v>
      </c>
      <c r="BJ138" s="118">
        <f t="shared" si="208"/>
        <v>0</v>
      </c>
      <c r="BK138" s="108" t="s">
        <v>131</v>
      </c>
      <c r="BL138" s="8" t="b">
        <f t="shared" si="209"/>
        <v>1</v>
      </c>
      <c r="BM138" s="128">
        <f t="shared" si="145"/>
        <v>0</v>
      </c>
      <c r="BN138" s="129">
        <f t="shared" si="220"/>
        <v>0</v>
      </c>
      <c r="BR138" s="73">
        <f t="shared" si="210"/>
        <v>0</v>
      </c>
      <c r="BS138" s="73">
        <f t="shared" si="211"/>
        <v>0</v>
      </c>
      <c r="BT138" s="73">
        <f t="shared" si="222"/>
        <v>0</v>
      </c>
      <c r="BU138" s="73">
        <f t="shared" si="223"/>
        <v>0</v>
      </c>
      <c r="BV138" s="73">
        <f t="shared" si="224"/>
        <v>0</v>
      </c>
      <c r="BW138" s="73">
        <f t="shared" si="225"/>
        <v>0</v>
      </c>
      <c r="BX138" s="73">
        <f t="shared" si="226"/>
        <v>0</v>
      </c>
      <c r="BY138" s="73">
        <f t="shared" si="227"/>
        <v>0</v>
      </c>
      <c r="BZ138" s="74">
        <f t="shared" si="228"/>
        <v>0</v>
      </c>
      <c r="CB138" s="75">
        <f t="shared" si="154"/>
        <v>0</v>
      </c>
      <c r="CE138" s="8"/>
      <c r="CJ138" s="70">
        <f t="shared" si="162"/>
        <v>0</v>
      </c>
      <c r="CL138" s="163"/>
      <c r="CM138" s="68"/>
      <c r="CN138" s="20">
        <v>505</v>
      </c>
      <c r="CQ138" s="177">
        <f t="shared" si="155"/>
        <v>0</v>
      </c>
      <c r="CR138" s="177">
        <f t="shared" si="156"/>
        <v>-505</v>
      </c>
    </row>
    <row r="139" spans="1:96" ht="55.5" customHeight="1" x14ac:dyDescent="0.3">
      <c r="A139" s="44" t="s">
        <v>525</v>
      </c>
      <c r="B139" s="51" t="s">
        <v>77</v>
      </c>
      <c r="C139" s="71" t="s">
        <v>176</v>
      </c>
      <c r="D139" s="20" t="s">
        <v>216</v>
      </c>
      <c r="E139" s="21" t="s">
        <v>483</v>
      </c>
      <c r="F139" s="21" t="str">
        <f t="shared" si="230"/>
        <v>нд</v>
      </c>
      <c r="G139" s="46" t="str">
        <f t="shared" si="231"/>
        <v>нд</v>
      </c>
      <c r="H139" s="46" t="str">
        <f t="shared" si="232"/>
        <v>нд</v>
      </c>
      <c r="I139" s="29" t="s">
        <v>131</v>
      </c>
      <c r="J139" s="28" t="s">
        <v>131</v>
      </c>
      <c r="K139" s="20">
        <v>0</v>
      </c>
      <c r="L139" s="20">
        <f t="shared" si="176"/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f t="shared" si="201"/>
        <v>0</v>
      </c>
      <c r="S139" s="20">
        <f t="shared" si="202"/>
        <v>0</v>
      </c>
      <c r="T139" s="20">
        <f t="shared" si="203"/>
        <v>0</v>
      </c>
      <c r="U139" s="20">
        <f t="shared" si="204"/>
        <v>0</v>
      </c>
      <c r="V139" s="20">
        <v>0</v>
      </c>
      <c r="W139" s="20">
        <f t="shared" si="205"/>
        <v>0</v>
      </c>
      <c r="X139" s="20"/>
      <c r="Y139" s="20">
        <f t="shared" si="206"/>
        <v>0</v>
      </c>
      <c r="Z139" s="28"/>
      <c r="AA139" s="20">
        <f t="shared" si="207"/>
        <v>0</v>
      </c>
      <c r="AB139" s="28"/>
      <c r="AC139" s="20"/>
      <c r="AD139" s="28"/>
      <c r="AE139" s="28"/>
      <c r="AF139" s="28"/>
      <c r="AG139" s="28"/>
      <c r="AH139" s="28"/>
      <c r="AI139" s="28"/>
      <c r="AJ139" s="28"/>
      <c r="AK139" s="20"/>
      <c r="AL139" s="28"/>
      <c r="AM139" s="28"/>
      <c r="AN139" s="20">
        <f t="shared" si="184"/>
        <v>0</v>
      </c>
      <c r="AO139" s="20">
        <f t="shared" si="185"/>
        <v>0</v>
      </c>
      <c r="AP139" s="94" t="s">
        <v>499</v>
      </c>
      <c r="AQ139" s="86"/>
      <c r="AR139" s="85">
        <f t="shared" si="163"/>
        <v>0</v>
      </c>
      <c r="AS139" s="85">
        <f t="shared" si="164"/>
        <v>0</v>
      </c>
      <c r="AT139" s="113">
        <f t="shared" si="166"/>
        <v>0</v>
      </c>
      <c r="AV139" s="105">
        <f t="shared" si="165"/>
        <v>0</v>
      </c>
      <c r="AX139" s="31"/>
      <c r="AY139" s="15"/>
      <c r="AZ139" s="118"/>
      <c r="BA139" s="118"/>
      <c r="BB139" s="118"/>
      <c r="BC139" s="118"/>
      <c r="BD139" s="8"/>
      <c r="BE139" s="118">
        <f t="shared" si="157"/>
        <v>0</v>
      </c>
      <c r="BF139" s="118">
        <f t="shared" si="158"/>
        <v>0</v>
      </c>
      <c r="BG139" s="118">
        <f t="shared" si="159"/>
        <v>0</v>
      </c>
      <c r="BH139" s="118">
        <f t="shared" si="160"/>
        <v>0</v>
      </c>
      <c r="BI139" s="122">
        <f t="shared" si="161"/>
        <v>0</v>
      </c>
      <c r="BJ139" s="118">
        <f t="shared" si="208"/>
        <v>0</v>
      </c>
      <c r="BK139" s="108" t="s">
        <v>131</v>
      </c>
      <c r="BL139" s="8" t="b">
        <f t="shared" si="209"/>
        <v>1</v>
      </c>
      <c r="BM139" s="128">
        <f t="shared" si="145"/>
        <v>0</v>
      </c>
      <c r="BN139" s="129">
        <f t="shared" si="220"/>
        <v>0</v>
      </c>
      <c r="BR139" s="73">
        <f t="shared" si="210"/>
        <v>0</v>
      </c>
      <c r="BS139" s="73">
        <f t="shared" si="211"/>
        <v>0</v>
      </c>
      <c r="BT139" s="73">
        <f t="shared" si="222"/>
        <v>0</v>
      </c>
      <c r="BU139" s="73">
        <f t="shared" si="223"/>
        <v>0</v>
      </c>
      <c r="BV139" s="73">
        <f t="shared" si="224"/>
        <v>0</v>
      </c>
      <c r="BW139" s="73">
        <f t="shared" si="225"/>
        <v>0</v>
      </c>
      <c r="BX139" s="73">
        <f t="shared" si="226"/>
        <v>0</v>
      </c>
      <c r="BY139" s="73">
        <f t="shared" si="227"/>
        <v>0</v>
      </c>
      <c r="BZ139" s="74">
        <f t="shared" si="228"/>
        <v>0</v>
      </c>
      <c r="CB139" s="75">
        <f t="shared" si="154"/>
        <v>0</v>
      </c>
      <c r="CE139" s="8"/>
      <c r="CJ139" s="70">
        <f t="shared" si="162"/>
        <v>0</v>
      </c>
      <c r="CL139" s="163"/>
      <c r="CM139" s="68"/>
      <c r="CN139" s="28"/>
      <c r="CQ139" s="177">
        <f t="shared" si="155"/>
        <v>0</v>
      </c>
      <c r="CR139" s="177">
        <f t="shared" si="156"/>
        <v>0</v>
      </c>
    </row>
    <row r="140" spans="1:96" ht="55.5" customHeight="1" x14ac:dyDescent="0.3">
      <c r="A140" s="44" t="s">
        <v>525</v>
      </c>
      <c r="B140" s="51" t="s">
        <v>77</v>
      </c>
      <c r="C140" s="71" t="s">
        <v>154</v>
      </c>
      <c r="D140" s="20" t="s">
        <v>254</v>
      </c>
      <c r="E140" s="21" t="s">
        <v>483</v>
      </c>
      <c r="F140" s="21" t="str">
        <f t="shared" si="230"/>
        <v>нд</v>
      </c>
      <c r="G140" s="46" t="str">
        <f t="shared" si="231"/>
        <v>нд</v>
      </c>
      <c r="H140" s="46" t="str">
        <f t="shared" si="232"/>
        <v>нд</v>
      </c>
      <c r="I140" s="22" t="s">
        <v>131</v>
      </c>
      <c r="J140" s="20" t="s">
        <v>131</v>
      </c>
      <c r="K140" s="20">
        <v>0</v>
      </c>
      <c r="L140" s="20">
        <f t="shared" si="176"/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f t="shared" si="201"/>
        <v>0</v>
      </c>
      <c r="S140" s="20">
        <f t="shared" si="202"/>
        <v>0</v>
      </c>
      <c r="T140" s="20">
        <f t="shared" si="203"/>
        <v>0</v>
      </c>
      <c r="U140" s="20">
        <f t="shared" si="204"/>
        <v>0</v>
      </c>
      <c r="V140" s="20">
        <v>0</v>
      </c>
      <c r="W140" s="20">
        <f t="shared" si="205"/>
        <v>0</v>
      </c>
      <c r="X140" s="20"/>
      <c r="Y140" s="20">
        <f t="shared" si="206"/>
        <v>0</v>
      </c>
      <c r="Z140" s="28"/>
      <c r="AA140" s="20">
        <f t="shared" si="207"/>
        <v>0</v>
      </c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>
        <f t="shared" si="184"/>
        <v>0</v>
      </c>
      <c r="AO140" s="20">
        <f t="shared" si="185"/>
        <v>0</v>
      </c>
      <c r="AP140" s="94" t="s">
        <v>499</v>
      </c>
      <c r="AQ140" s="86"/>
      <c r="AR140" s="85">
        <f t="shared" si="163"/>
        <v>0</v>
      </c>
      <c r="AS140" s="85">
        <f t="shared" si="164"/>
        <v>0</v>
      </c>
      <c r="AT140" s="113">
        <f t="shared" si="166"/>
        <v>0</v>
      </c>
      <c r="AV140" s="105">
        <f t="shared" si="165"/>
        <v>0</v>
      </c>
      <c r="AX140" s="31"/>
      <c r="AY140" s="15"/>
      <c r="AZ140" s="118"/>
      <c r="BA140" s="118"/>
      <c r="BB140" s="118"/>
      <c r="BC140" s="118"/>
      <c r="BD140" s="8"/>
      <c r="BE140" s="118">
        <f t="shared" si="157"/>
        <v>0</v>
      </c>
      <c r="BF140" s="118">
        <f t="shared" si="158"/>
        <v>0</v>
      </c>
      <c r="BG140" s="118">
        <f t="shared" si="159"/>
        <v>0</v>
      </c>
      <c r="BH140" s="118">
        <f t="shared" si="160"/>
        <v>0</v>
      </c>
      <c r="BI140" s="122">
        <f t="shared" si="161"/>
        <v>0</v>
      </c>
      <c r="BJ140" s="118">
        <f t="shared" si="208"/>
        <v>0</v>
      </c>
      <c r="BK140" s="108" t="s">
        <v>131</v>
      </c>
      <c r="BL140" s="8" t="b">
        <f t="shared" si="209"/>
        <v>1</v>
      </c>
      <c r="BM140" s="128">
        <f t="shared" si="145"/>
        <v>0</v>
      </c>
      <c r="BN140" s="129">
        <f t="shared" si="220"/>
        <v>0</v>
      </c>
      <c r="BR140" s="73">
        <f t="shared" si="210"/>
        <v>0</v>
      </c>
      <c r="BS140" s="73">
        <f t="shared" si="211"/>
        <v>0</v>
      </c>
      <c r="BT140" s="73">
        <f t="shared" si="222"/>
        <v>0</v>
      </c>
      <c r="BU140" s="73">
        <f t="shared" si="223"/>
        <v>0</v>
      </c>
      <c r="BV140" s="73">
        <f t="shared" si="224"/>
        <v>0</v>
      </c>
      <c r="BW140" s="73">
        <f t="shared" si="225"/>
        <v>0</v>
      </c>
      <c r="BX140" s="73">
        <f t="shared" si="226"/>
        <v>0</v>
      </c>
      <c r="BY140" s="73">
        <f t="shared" si="227"/>
        <v>0</v>
      </c>
      <c r="BZ140" s="74">
        <f t="shared" si="228"/>
        <v>0</v>
      </c>
      <c r="CB140" s="75">
        <f t="shared" si="154"/>
        <v>0</v>
      </c>
      <c r="CE140" s="8"/>
      <c r="CJ140" s="70">
        <f t="shared" si="162"/>
        <v>0</v>
      </c>
      <c r="CL140" s="163"/>
      <c r="CM140" s="68"/>
      <c r="CN140" s="20"/>
      <c r="CQ140" s="177">
        <f t="shared" si="155"/>
        <v>0</v>
      </c>
      <c r="CR140" s="177">
        <f t="shared" si="156"/>
        <v>0</v>
      </c>
    </row>
    <row r="141" spans="1:96" ht="37.5" x14ac:dyDescent="0.3">
      <c r="B141" s="54" t="s">
        <v>79</v>
      </c>
      <c r="C141" s="55" t="s">
        <v>80</v>
      </c>
      <c r="D141" s="35" t="s">
        <v>129</v>
      </c>
      <c r="E141" s="35"/>
      <c r="F141" s="35"/>
      <c r="G141" s="36"/>
      <c r="H141" s="36"/>
      <c r="I141" s="37" t="s">
        <v>131</v>
      </c>
      <c r="J141" s="35">
        <f>J142+J143+J144+J145+J146+J156+J158+J160</f>
        <v>12.469489070229548</v>
      </c>
      <c r="K141" s="35">
        <f>K142+K143+K144+K145+K146+K156+K158+K160</f>
        <v>0</v>
      </c>
      <c r="L141" s="35">
        <f t="shared" si="176"/>
        <v>4823.6239794586863</v>
      </c>
      <c r="M141" s="35">
        <f t="shared" ref="M141:AM141" si="233">M142+M143+M144+M145+M146+M156+M158+M160</f>
        <v>434.13000594277662</v>
      </c>
      <c r="N141" s="35">
        <f t="shared" si="233"/>
        <v>1061.2045203643909</v>
      </c>
      <c r="O141" s="35">
        <f t="shared" si="233"/>
        <v>3135.366159419536</v>
      </c>
      <c r="P141" s="35">
        <f t="shared" si="233"/>
        <v>192.92329373198282</v>
      </c>
      <c r="Q141" s="35">
        <f t="shared" si="233"/>
        <v>4442.7059947302287</v>
      </c>
      <c r="R141" s="35">
        <f t="shared" si="233"/>
        <v>399.84608104225919</v>
      </c>
      <c r="S141" s="35">
        <f t="shared" si="233"/>
        <v>977.40214811706414</v>
      </c>
      <c r="T141" s="35">
        <f t="shared" si="233"/>
        <v>2887.7681203286866</v>
      </c>
      <c r="U141" s="35">
        <f t="shared" si="233"/>
        <v>177.6896452422192</v>
      </c>
      <c r="V141" s="35">
        <f t="shared" si="233"/>
        <v>0</v>
      </c>
      <c r="W141" s="35">
        <f t="shared" si="233"/>
        <v>4823.6239794586863</v>
      </c>
      <c r="X141" s="35">
        <f t="shared" si="233"/>
        <v>0</v>
      </c>
      <c r="Y141" s="35">
        <f t="shared" si="233"/>
        <v>3780.3258969587446</v>
      </c>
      <c r="Z141" s="35">
        <f t="shared" si="233"/>
        <v>0</v>
      </c>
      <c r="AA141" s="35">
        <f t="shared" si="233"/>
        <v>2998.1102056600002</v>
      </c>
      <c r="AB141" s="35">
        <f t="shared" si="233"/>
        <v>0</v>
      </c>
      <c r="AC141" s="35">
        <f t="shared" si="233"/>
        <v>0</v>
      </c>
      <c r="AD141" s="35">
        <f t="shared" si="233"/>
        <v>292.39999999999998</v>
      </c>
      <c r="AE141" s="35">
        <f t="shared" si="233"/>
        <v>691.06138907022944</v>
      </c>
      <c r="AF141" s="35">
        <f t="shared" si="233"/>
        <v>750.89808249994223</v>
      </c>
      <c r="AG141" s="35">
        <f t="shared" si="233"/>
        <v>753.53440000000001</v>
      </c>
      <c r="AH141" s="35">
        <f t="shared" si="233"/>
        <v>1757.6496305627747</v>
      </c>
      <c r="AI141" s="35">
        <f t="shared" si="233"/>
        <v>875.0598</v>
      </c>
      <c r="AJ141" s="35">
        <f t="shared" si="233"/>
        <v>842.12738598827787</v>
      </c>
      <c r="AK141" s="35">
        <f t="shared" si="233"/>
        <v>1107.4342495999999</v>
      </c>
      <c r="AL141" s="35">
        <f t="shared" si="233"/>
        <v>781.88749048766397</v>
      </c>
      <c r="AM141" s="35">
        <f t="shared" si="233"/>
        <v>1015.61615606</v>
      </c>
      <c r="AN141" s="35">
        <f t="shared" ref="AN141:AO172" si="234">SUM(AD141+AF141+AH141+AJ141+AL141)</f>
        <v>4424.9625895386589</v>
      </c>
      <c r="AO141" s="35">
        <f t="shared" si="234"/>
        <v>4442.7059947302296</v>
      </c>
      <c r="AP141" s="98" t="s">
        <v>131</v>
      </c>
      <c r="AQ141" s="86"/>
      <c r="AR141" s="85">
        <f t="shared" si="163"/>
        <v>398.66138992002743</v>
      </c>
      <c r="AS141" s="85">
        <f t="shared" si="164"/>
        <v>0</v>
      </c>
      <c r="AT141" s="113"/>
      <c r="AV141" s="105">
        <f t="shared" si="165"/>
        <v>0</v>
      </c>
      <c r="AX141" s="31"/>
      <c r="AY141" s="15"/>
      <c r="AZ141" s="118">
        <v>753.53440000000001</v>
      </c>
      <c r="BA141" s="118">
        <v>875.06</v>
      </c>
      <c r="BB141" s="118">
        <v>842.12743138000008</v>
      </c>
      <c r="BC141" s="118">
        <v>781.88759029783057</v>
      </c>
      <c r="BD141" s="8"/>
      <c r="BE141" s="118">
        <f t="shared" si="157"/>
        <v>0</v>
      </c>
      <c r="BF141" s="118">
        <f t="shared" si="158"/>
        <v>-1.9999999994979589E-4</v>
      </c>
      <c r="BG141" s="118">
        <f t="shared" si="159"/>
        <v>265.30681821999985</v>
      </c>
      <c r="BH141" s="118">
        <f t="shared" si="160"/>
        <v>233.72856576216941</v>
      </c>
      <c r="BI141" s="122">
        <f t="shared" si="161"/>
        <v>499.03518398216931</v>
      </c>
      <c r="BJ141" s="123"/>
      <c r="BK141" s="108"/>
      <c r="BM141" s="128">
        <f t="shared" si="145"/>
        <v>4442.7059947302296</v>
      </c>
      <c r="BN141" s="129">
        <f t="shared" si="220"/>
        <v>0</v>
      </c>
      <c r="CB141" s="75">
        <f t="shared" si="154"/>
        <v>4436.4815982320169</v>
      </c>
      <c r="CJ141" s="70">
        <f t="shared" si="162"/>
        <v>-3.694822225952521E-13</v>
      </c>
      <c r="CL141" s="163"/>
      <c r="CM141" s="68"/>
      <c r="CN141" s="35">
        <f t="shared" ref="CN141" si="235">CN142+CN143+CN144+CN145+CN146+CN156+CN158+CN160</f>
        <v>292.35000000000002</v>
      </c>
      <c r="CQ141" s="177">
        <f t="shared" si="155"/>
        <v>4826.260296108946</v>
      </c>
      <c r="CR141" s="177">
        <f t="shared" si="156"/>
        <v>401.29770657028712</v>
      </c>
    </row>
    <row r="142" spans="1:96" ht="37.5" x14ac:dyDescent="0.3">
      <c r="B142" s="56" t="s">
        <v>81</v>
      </c>
      <c r="C142" s="57" t="s">
        <v>82</v>
      </c>
      <c r="D142" s="32" t="s">
        <v>129</v>
      </c>
      <c r="E142" s="32"/>
      <c r="F142" s="32"/>
      <c r="G142" s="33"/>
      <c r="H142" s="33"/>
      <c r="I142" s="34" t="s">
        <v>131</v>
      </c>
      <c r="J142" s="32">
        <v>0</v>
      </c>
      <c r="K142" s="32">
        <v>0</v>
      </c>
      <c r="L142" s="32">
        <f t="shared" si="176"/>
        <v>0</v>
      </c>
      <c r="M142" s="32">
        <v>0</v>
      </c>
      <c r="N142" s="32">
        <v>0</v>
      </c>
      <c r="O142" s="32">
        <v>0</v>
      </c>
      <c r="P142" s="32">
        <v>0</v>
      </c>
      <c r="Q142" s="32">
        <v>0</v>
      </c>
      <c r="R142" s="32">
        <v>0</v>
      </c>
      <c r="S142" s="32">
        <v>0</v>
      </c>
      <c r="T142" s="32">
        <v>0</v>
      </c>
      <c r="U142" s="32">
        <v>0</v>
      </c>
      <c r="V142" s="32">
        <v>0</v>
      </c>
      <c r="W142" s="32">
        <f t="shared" ref="W142:W168" si="236">L142-K142</f>
        <v>0</v>
      </c>
      <c r="X142" s="32">
        <v>0</v>
      </c>
      <c r="Y142" s="32">
        <f t="shared" ref="Y142:Y163" si="237">W142</f>
        <v>0</v>
      </c>
      <c r="Z142" s="32">
        <v>0</v>
      </c>
      <c r="AA142" s="32">
        <f t="shared" ref="AA142:AA163" si="238">Q142-(K142+AC142+AE142)</f>
        <v>0</v>
      </c>
      <c r="AB142" s="32">
        <v>0</v>
      </c>
      <c r="AC142" s="32">
        <v>0</v>
      </c>
      <c r="AD142" s="32">
        <v>0</v>
      </c>
      <c r="AE142" s="32">
        <v>0</v>
      </c>
      <c r="AF142" s="32">
        <v>0</v>
      </c>
      <c r="AG142" s="32">
        <v>0</v>
      </c>
      <c r="AH142" s="32">
        <v>0</v>
      </c>
      <c r="AI142" s="32">
        <v>0</v>
      </c>
      <c r="AJ142" s="32">
        <v>0</v>
      </c>
      <c r="AK142" s="32">
        <v>0</v>
      </c>
      <c r="AL142" s="32">
        <v>0</v>
      </c>
      <c r="AM142" s="32">
        <v>0</v>
      </c>
      <c r="AN142" s="32">
        <f t="shared" si="234"/>
        <v>0</v>
      </c>
      <c r="AO142" s="32">
        <f t="shared" si="234"/>
        <v>0</v>
      </c>
      <c r="AP142" s="99" t="s">
        <v>131</v>
      </c>
      <c r="AQ142" s="86"/>
      <c r="AR142" s="85">
        <f t="shared" si="163"/>
        <v>0</v>
      </c>
      <c r="AS142" s="85">
        <f t="shared" si="164"/>
        <v>0</v>
      </c>
      <c r="AT142" s="113"/>
      <c r="AV142" s="105">
        <f t="shared" si="165"/>
        <v>0</v>
      </c>
      <c r="AX142" s="31"/>
      <c r="AY142" s="15"/>
      <c r="AZ142" s="118">
        <v>0</v>
      </c>
      <c r="BA142" s="118">
        <v>0</v>
      </c>
      <c r="BB142" s="118">
        <v>0</v>
      </c>
      <c r="BC142" s="118">
        <v>0</v>
      </c>
      <c r="BD142" s="8"/>
      <c r="BE142" s="118">
        <f t="shared" si="157"/>
        <v>0</v>
      </c>
      <c r="BF142" s="118">
        <f t="shared" si="158"/>
        <v>0</v>
      </c>
      <c r="BG142" s="118">
        <f t="shared" si="159"/>
        <v>0</v>
      </c>
      <c r="BH142" s="118">
        <f t="shared" si="160"/>
        <v>0</v>
      </c>
      <c r="BI142" s="122">
        <f t="shared" si="161"/>
        <v>0</v>
      </c>
      <c r="BJ142" s="123"/>
      <c r="BK142" s="108"/>
      <c r="BM142" s="128">
        <f t="shared" si="145"/>
        <v>0</v>
      </c>
      <c r="BN142" s="129">
        <f t="shared" si="220"/>
        <v>0</v>
      </c>
      <c r="CB142" s="75">
        <f t="shared" si="154"/>
        <v>0</v>
      </c>
      <c r="CJ142" s="70">
        <f t="shared" si="162"/>
        <v>0</v>
      </c>
      <c r="CL142" s="163"/>
      <c r="CM142" s="68"/>
      <c r="CN142" s="32">
        <v>0</v>
      </c>
      <c r="CQ142" s="177">
        <f t="shared" si="155"/>
        <v>0</v>
      </c>
      <c r="CR142" s="177">
        <f t="shared" si="156"/>
        <v>0</v>
      </c>
    </row>
    <row r="143" spans="1:96" ht="37.5" x14ac:dyDescent="0.3">
      <c r="B143" s="56" t="s">
        <v>83</v>
      </c>
      <c r="C143" s="57" t="s">
        <v>84</v>
      </c>
      <c r="D143" s="32" t="s">
        <v>129</v>
      </c>
      <c r="E143" s="32"/>
      <c r="F143" s="32"/>
      <c r="G143" s="33"/>
      <c r="H143" s="33"/>
      <c r="I143" s="34" t="s">
        <v>131</v>
      </c>
      <c r="J143" s="32">
        <v>0</v>
      </c>
      <c r="K143" s="32">
        <v>0</v>
      </c>
      <c r="L143" s="32">
        <f t="shared" si="176"/>
        <v>0</v>
      </c>
      <c r="M143" s="32">
        <v>0</v>
      </c>
      <c r="N143" s="32">
        <v>0</v>
      </c>
      <c r="O143" s="32">
        <v>0</v>
      </c>
      <c r="P143" s="32">
        <v>0</v>
      </c>
      <c r="Q143" s="32">
        <v>0</v>
      </c>
      <c r="R143" s="32">
        <v>0</v>
      </c>
      <c r="S143" s="32">
        <v>0</v>
      </c>
      <c r="T143" s="32">
        <v>0</v>
      </c>
      <c r="U143" s="32">
        <v>0</v>
      </c>
      <c r="V143" s="32">
        <v>0</v>
      </c>
      <c r="W143" s="32">
        <f t="shared" si="236"/>
        <v>0</v>
      </c>
      <c r="X143" s="32">
        <v>0</v>
      </c>
      <c r="Y143" s="32">
        <f t="shared" si="237"/>
        <v>0</v>
      </c>
      <c r="Z143" s="32">
        <v>0</v>
      </c>
      <c r="AA143" s="32">
        <f t="shared" si="238"/>
        <v>0</v>
      </c>
      <c r="AB143" s="32">
        <v>0</v>
      </c>
      <c r="AC143" s="32">
        <v>0</v>
      </c>
      <c r="AD143" s="32">
        <v>0</v>
      </c>
      <c r="AE143" s="32">
        <v>0</v>
      </c>
      <c r="AF143" s="32">
        <v>0</v>
      </c>
      <c r="AG143" s="32">
        <v>0</v>
      </c>
      <c r="AH143" s="32">
        <v>0</v>
      </c>
      <c r="AI143" s="32">
        <v>0</v>
      </c>
      <c r="AJ143" s="32">
        <v>0</v>
      </c>
      <c r="AK143" s="32">
        <v>0</v>
      </c>
      <c r="AL143" s="32">
        <v>0</v>
      </c>
      <c r="AM143" s="32">
        <v>0</v>
      </c>
      <c r="AN143" s="32">
        <f t="shared" si="234"/>
        <v>0</v>
      </c>
      <c r="AO143" s="32">
        <f t="shared" si="234"/>
        <v>0</v>
      </c>
      <c r="AP143" s="99" t="s">
        <v>131</v>
      </c>
      <c r="AQ143" s="86"/>
      <c r="AR143" s="85">
        <f t="shared" si="163"/>
        <v>0</v>
      </c>
      <c r="AS143" s="85">
        <f t="shared" si="164"/>
        <v>0</v>
      </c>
      <c r="AT143" s="113"/>
      <c r="AV143" s="105">
        <f t="shared" si="165"/>
        <v>0</v>
      </c>
      <c r="AX143" s="31"/>
      <c r="AY143" s="15"/>
      <c r="AZ143" s="118">
        <v>0</v>
      </c>
      <c r="BA143" s="118">
        <v>0</v>
      </c>
      <c r="BB143" s="118">
        <v>0</v>
      </c>
      <c r="BC143" s="118">
        <v>0</v>
      </c>
      <c r="BD143" s="8"/>
      <c r="BE143" s="118">
        <f t="shared" si="157"/>
        <v>0</v>
      </c>
      <c r="BF143" s="118">
        <f t="shared" si="158"/>
        <v>0</v>
      </c>
      <c r="BG143" s="118">
        <f t="shared" si="159"/>
        <v>0</v>
      </c>
      <c r="BH143" s="118">
        <f t="shared" si="160"/>
        <v>0</v>
      </c>
      <c r="BI143" s="122">
        <f t="shared" si="161"/>
        <v>0</v>
      </c>
      <c r="BJ143" s="123"/>
      <c r="BK143" s="108"/>
      <c r="BM143" s="128">
        <f t="shared" si="145"/>
        <v>0</v>
      </c>
      <c r="BN143" s="129">
        <f t="shared" si="220"/>
        <v>0</v>
      </c>
      <c r="CB143" s="75">
        <f t="shared" si="154"/>
        <v>0</v>
      </c>
      <c r="CJ143" s="70">
        <f t="shared" si="162"/>
        <v>0</v>
      </c>
      <c r="CL143" s="163"/>
      <c r="CM143" s="68"/>
      <c r="CN143" s="32">
        <v>0</v>
      </c>
      <c r="CQ143" s="177">
        <f t="shared" si="155"/>
        <v>0</v>
      </c>
      <c r="CR143" s="177">
        <f t="shared" si="156"/>
        <v>0</v>
      </c>
    </row>
    <row r="144" spans="1:96" ht="20.25" x14ac:dyDescent="0.3">
      <c r="B144" s="56" t="s">
        <v>85</v>
      </c>
      <c r="C144" s="57" t="s">
        <v>86</v>
      </c>
      <c r="D144" s="32" t="s">
        <v>129</v>
      </c>
      <c r="E144" s="32"/>
      <c r="F144" s="32"/>
      <c r="G144" s="33"/>
      <c r="H144" s="33"/>
      <c r="I144" s="34" t="s">
        <v>131</v>
      </c>
      <c r="J144" s="32">
        <v>0</v>
      </c>
      <c r="K144" s="32">
        <v>0</v>
      </c>
      <c r="L144" s="32">
        <f t="shared" si="176"/>
        <v>0</v>
      </c>
      <c r="M144" s="32">
        <v>0</v>
      </c>
      <c r="N144" s="32">
        <v>0</v>
      </c>
      <c r="O144" s="32">
        <v>0</v>
      </c>
      <c r="P144" s="32">
        <v>0</v>
      </c>
      <c r="Q144" s="32">
        <v>0</v>
      </c>
      <c r="R144" s="32">
        <v>0</v>
      </c>
      <c r="S144" s="32">
        <v>0</v>
      </c>
      <c r="T144" s="32">
        <v>0</v>
      </c>
      <c r="U144" s="32">
        <v>0</v>
      </c>
      <c r="V144" s="32">
        <v>0</v>
      </c>
      <c r="W144" s="32">
        <f t="shared" si="236"/>
        <v>0</v>
      </c>
      <c r="X144" s="32">
        <v>0</v>
      </c>
      <c r="Y144" s="32">
        <f t="shared" si="237"/>
        <v>0</v>
      </c>
      <c r="Z144" s="32">
        <v>0</v>
      </c>
      <c r="AA144" s="32">
        <f t="shared" si="238"/>
        <v>0</v>
      </c>
      <c r="AB144" s="32">
        <v>0</v>
      </c>
      <c r="AC144" s="32">
        <v>0</v>
      </c>
      <c r="AD144" s="32">
        <v>0</v>
      </c>
      <c r="AE144" s="32">
        <v>0</v>
      </c>
      <c r="AF144" s="32">
        <v>0</v>
      </c>
      <c r="AG144" s="32">
        <v>0</v>
      </c>
      <c r="AH144" s="32">
        <v>0</v>
      </c>
      <c r="AI144" s="32">
        <v>0</v>
      </c>
      <c r="AJ144" s="32">
        <v>0</v>
      </c>
      <c r="AK144" s="32">
        <v>0</v>
      </c>
      <c r="AL144" s="32">
        <v>0</v>
      </c>
      <c r="AM144" s="32">
        <v>0</v>
      </c>
      <c r="AN144" s="32">
        <f t="shared" si="234"/>
        <v>0</v>
      </c>
      <c r="AO144" s="32">
        <f t="shared" si="234"/>
        <v>0</v>
      </c>
      <c r="AP144" s="99" t="s">
        <v>131</v>
      </c>
      <c r="AQ144" s="86"/>
      <c r="AR144" s="85">
        <f t="shared" si="163"/>
        <v>0</v>
      </c>
      <c r="AS144" s="85">
        <f t="shared" si="164"/>
        <v>0</v>
      </c>
      <c r="AT144" s="113"/>
      <c r="AV144" s="105">
        <f t="shared" si="165"/>
        <v>0</v>
      </c>
      <c r="AX144" s="31"/>
      <c r="AY144" s="15"/>
      <c r="AZ144" s="118">
        <v>0</v>
      </c>
      <c r="BA144" s="118">
        <v>0</v>
      </c>
      <c r="BB144" s="118">
        <v>0</v>
      </c>
      <c r="BC144" s="118">
        <v>0</v>
      </c>
      <c r="BD144" s="8"/>
      <c r="BE144" s="118">
        <f t="shared" si="157"/>
        <v>0</v>
      </c>
      <c r="BF144" s="118">
        <f t="shared" si="158"/>
        <v>0</v>
      </c>
      <c r="BG144" s="118">
        <f t="shared" si="159"/>
        <v>0</v>
      </c>
      <c r="BH144" s="118">
        <f t="shared" si="160"/>
        <v>0</v>
      </c>
      <c r="BI144" s="122">
        <f t="shared" si="161"/>
        <v>0</v>
      </c>
      <c r="BJ144" s="123"/>
      <c r="BK144" s="108"/>
      <c r="BM144" s="128">
        <f t="shared" si="145"/>
        <v>0</v>
      </c>
      <c r="BN144" s="129">
        <f t="shared" si="220"/>
        <v>0</v>
      </c>
      <c r="CB144" s="75">
        <f t="shared" si="154"/>
        <v>0</v>
      </c>
      <c r="CJ144" s="70">
        <f t="shared" si="162"/>
        <v>0</v>
      </c>
      <c r="CL144" s="163"/>
      <c r="CM144" s="68"/>
      <c r="CN144" s="32">
        <v>0</v>
      </c>
      <c r="CQ144" s="177">
        <f t="shared" si="155"/>
        <v>0</v>
      </c>
      <c r="CR144" s="177">
        <f t="shared" si="156"/>
        <v>0</v>
      </c>
    </row>
    <row r="145" spans="1:96" ht="37.5" x14ac:dyDescent="0.3">
      <c r="B145" s="56" t="s">
        <v>87</v>
      </c>
      <c r="C145" s="57" t="s">
        <v>88</v>
      </c>
      <c r="D145" s="32" t="s">
        <v>129</v>
      </c>
      <c r="E145" s="32"/>
      <c r="F145" s="32"/>
      <c r="G145" s="33"/>
      <c r="H145" s="33"/>
      <c r="I145" s="34" t="s">
        <v>131</v>
      </c>
      <c r="J145" s="32">
        <v>0</v>
      </c>
      <c r="K145" s="32">
        <v>0</v>
      </c>
      <c r="L145" s="32">
        <f t="shared" si="176"/>
        <v>0</v>
      </c>
      <c r="M145" s="32">
        <v>0</v>
      </c>
      <c r="N145" s="32">
        <v>0</v>
      </c>
      <c r="O145" s="32">
        <v>0</v>
      </c>
      <c r="P145" s="32">
        <v>0</v>
      </c>
      <c r="Q145" s="32">
        <v>0</v>
      </c>
      <c r="R145" s="32">
        <v>0</v>
      </c>
      <c r="S145" s="32">
        <v>0</v>
      </c>
      <c r="T145" s="32">
        <v>0</v>
      </c>
      <c r="U145" s="32">
        <v>0</v>
      </c>
      <c r="V145" s="32">
        <v>0</v>
      </c>
      <c r="W145" s="32">
        <f t="shared" si="236"/>
        <v>0</v>
      </c>
      <c r="X145" s="32">
        <v>0</v>
      </c>
      <c r="Y145" s="32">
        <f t="shared" si="237"/>
        <v>0</v>
      </c>
      <c r="Z145" s="32">
        <v>0</v>
      </c>
      <c r="AA145" s="32">
        <f t="shared" si="238"/>
        <v>0</v>
      </c>
      <c r="AB145" s="32">
        <v>0</v>
      </c>
      <c r="AC145" s="32">
        <v>0</v>
      </c>
      <c r="AD145" s="32">
        <v>0</v>
      </c>
      <c r="AE145" s="32">
        <v>0</v>
      </c>
      <c r="AF145" s="32">
        <v>0</v>
      </c>
      <c r="AG145" s="32">
        <v>0</v>
      </c>
      <c r="AH145" s="32">
        <v>0</v>
      </c>
      <c r="AI145" s="32">
        <v>0</v>
      </c>
      <c r="AJ145" s="32">
        <v>0</v>
      </c>
      <c r="AK145" s="32">
        <v>0</v>
      </c>
      <c r="AL145" s="32">
        <v>0</v>
      </c>
      <c r="AM145" s="32">
        <v>0</v>
      </c>
      <c r="AN145" s="32">
        <f t="shared" si="234"/>
        <v>0</v>
      </c>
      <c r="AO145" s="32">
        <f t="shared" si="234"/>
        <v>0</v>
      </c>
      <c r="AP145" s="99" t="s">
        <v>131</v>
      </c>
      <c r="AQ145" s="86"/>
      <c r="AR145" s="85">
        <f t="shared" si="163"/>
        <v>0</v>
      </c>
      <c r="AS145" s="85">
        <f t="shared" si="164"/>
        <v>0</v>
      </c>
      <c r="AT145" s="113"/>
      <c r="AV145" s="105">
        <f t="shared" si="165"/>
        <v>0</v>
      </c>
      <c r="AX145" s="31"/>
      <c r="AY145" s="15"/>
      <c r="AZ145" s="118">
        <v>0</v>
      </c>
      <c r="BA145" s="118">
        <v>0</v>
      </c>
      <c r="BB145" s="118">
        <v>0</v>
      </c>
      <c r="BC145" s="118">
        <v>0</v>
      </c>
      <c r="BD145" s="8"/>
      <c r="BE145" s="118">
        <f t="shared" si="157"/>
        <v>0</v>
      </c>
      <c r="BF145" s="118">
        <f t="shared" si="158"/>
        <v>0</v>
      </c>
      <c r="BG145" s="118">
        <f t="shared" si="159"/>
        <v>0</v>
      </c>
      <c r="BH145" s="118">
        <f t="shared" si="160"/>
        <v>0</v>
      </c>
      <c r="BI145" s="122">
        <f t="shared" si="161"/>
        <v>0</v>
      </c>
      <c r="BJ145" s="123"/>
      <c r="BK145" s="108"/>
      <c r="BM145" s="128">
        <f t="shared" si="145"/>
        <v>0</v>
      </c>
      <c r="BN145" s="129">
        <f t="shared" si="220"/>
        <v>0</v>
      </c>
      <c r="CB145" s="75">
        <f t="shared" si="154"/>
        <v>0</v>
      </c>
      <c r="CJ145" s="70">
        <f t="shared" si="162"/>
        <v>0</v>
      </c>
      <c r="CL145" s="163"/>
      <c r="CM145" s="68"/>
      <c r="CN145" s="32">
        <v>0</v>
      </c>
      <c r="CQ145" s="177">
        <f t="shared" si="155"/>
        <v>0</v>
      </c>
      <c r="CR145" s="177">
        <f t="shared" si="156"/>
        <v>0</v>
      </c>
    </row>
    <row r="146" spans="1:96" ht="37.5" x14ac:dyDescent="0.3">
      <c r="B146" s="56" t="s">
        <v>89</v>
      </c>
      <c r="C146" s="57" t="s">
        <v>90</v>
      </c>
      <c r="D146" s="32" t="s">
        <v>129</v>
      </c>
      <c r="E146" s="32"/>
      <c r="F146" s="32"/>
      <c r="G146" s="33"/>
      <c r="H146" s="33"/>
      <c r="I146" s="34" t="s">
        <v>131</v>
      </c>
      <c r="J146" s="32">
        <f>SUM(J147:J155)</f>
        <v>0</v>
      </c>
      <c r="K146" s="32">
        <f>SUM(K147:K155)</f>
        <v>0</v>
      </c>
      <c r="L146" s="32">
        <f>M146+N146+O146+P146</f>
        <v>4811.1544903884569</v>
      </c>
      <c r="M146" s="32">
        <f t="shared" ref="M146:AM146" si="239">SUM(M147:M155)</f>
        <v>433.00783153634472</v>
      </c>
      <c r="N146" s="32">
        <f t="shared" si="239"/>
        <v>1058.4609120721052</v>
      </c>
      <c r="O146" s="32">
        <f t="shared" si="239"/>
        <v>3127.2601090432704</v>
      </c>
      <c r="P146" s="32">
        <f t="shared" si="239"/>
        <v>192.4256377367368</v>
      </c>
      <c r="Q146" s="32">
        <f t="shared" si="239"/>
        <v>4430.2365056599992</v>
      </c>
      <c r="R146" s="32">
        <f t="shared" si="239"/>
        <v>398.72390663582729</v>
      </c>
      <c r="S146" s="32">
        <f t="shared" si="239"/>
        <v>974.65853982477836</v>
      </c>
      <c r="T146" s="32">
        <f t="shared" si="239"/>
        <v>2879.662069952421</v>
      </c>
      <c r="U146" s="32">
        <f t="shared" si="239"/>
        <v>177.19198924697318</v>
      </c>
      <c r="V146" s="32">
        <f t="shared" si="239"/>
        <v>0</v>
      </c>
      <c r="W146" s="32">
        <f t="shared" si="239"/>
        <v>4811.1544903884569</v>
      </c>
      <c r="X146" s="32">
        <f t="shared" si="239"/>
        <v>0</v>
      </c>
      <c r="Y146" s="32">
        <f t="shared" si="239"/>
        <v>3786.3564078885152</v>
      </c>
      <c r="Z146" s="32">
        <f t="shared" si="239"/>
        <v>0</v>
      </c>
      <c r="AA146" s="32">
        <f t="shared" si="239"/>
        <v>2998.1102056600002</v>
      </c>
      <c r="AB146" s="32">
        <f t="shared" si="239"/>
        <v>0</v>
      </c>
      <c r="AC146" s="32">
        <f t="shared" si="239"/>
        <v>0</v>
      </c>
      <c r="AD146" s="32">
        <f t="shared" si="239"/>
        <v>273.89999999999998</v>
      </c>
      <c r="AE146" s="32">
        <f t="shared" si="239"/>
        <v>678.5918999999999</v>
      </c>
      <c r="AF146" s="32">
        <f t="shared" si="239"/>
        <v>750.89808249994223</v>
      </c>
      <c r="AG146" s="32">
        <f t="shared" si="239"/>
        <v>753.53440000000001</v>
      </c>
      <c r="AH146" s="32">
        <f t="shared" si="239"/>
        <v>1757.6496305627747</v>
      </c>
      <c r="AI146" s="32">
        <f t="shared" si="239"/>
        <v>875.0598</v>
      </c>
      <c r="AJ146" s="32">
        <f t="shared" si="239"/>
        <v>842.12738598827787</v>
      </c>
      <c r="AK146" s="32">
        <f t="shared" si="239"/>
        <v>1107.4342495999999</v>
      </c>
      <c r="AL146" s="32">
        <f t="shared" si="239"/>
        <v>781.88749048766397</v>
      </c>
      <c r="AM146" s="32">
        <f t="shared" si="239"/>
        <v>1015.61615606</v>
      </c>
      <c r="AN146" s="32">
        <f t="shared" si="234"/>
        <v>4406.4625895386589</v>
      </c>
      <c r="AO146" s="32">
        <f t="shared" si="234"/>
        <v>4430.2365056600001</v>
      </c>
      <c r="AP146" s="99" t="s">
        <v>131</v>
      </c>
      <c r="AQ146" s="86"/>
      <c r="AR146" s="85">
        <f t="shared" si="163"/>
        <v>404.691900849798</v>
      </c>
      <c r="AS146" s="85">
        <f t="shared" si="164"/>
        <v>0</v>
      </c>
      <c r="AT146" s="113"/>
      <c r="AV146" s="105">
        <f t="shared" si="165"/>
        <v>0</v>
      </c>
      <c r="AX146" s="31"/>
      <c r="AY146" s="15"/>
      <c r="AZ146" s="118">
        <v>753.53440000000001</v>
      </c>
      <c r="BA146" s="118">
        <v>875.06</v>
      </c>
      <c r="BB146" s="118">
        <v>842.12743138000008</v>
      </c>
      <c r="BC146" s="118">
        <v>781.88759029783057</v>
      </c>
      <c r="BD146" s="8"/>
      <c r="BE146" s="118">
        <f t="shared" si="157"/>
        <v>0</v>
      </c>
      <c r="BF146" s="118">
        <f t="shared" si="158"/>
        <v>-1.9999999994979589E-4</v>
      </c>
      <c r="BG146" s="118">
        <f t="shared" si="159"/>
        <v>265.30681821999985</v>
      </c>
      <c r="BH146" s="118">
        <f t="shared" si="160"/>
        <v>233.72856576216941</v>
      </c>
      <c r="BI146" s="122">
        <f t="shared" si="161"/>
        <v>499.03518398216931</v>
      </c>
      <c r="BJ146" s="123"/>
      <c r="BK146" s="108"/>
      <c r="BM146" s="128">
        <f t="shared" ref="BM146:BM209" si="240">K146+AC146+AE146+AG146+AI146+AK146+AM146</f>
        <v>4430.2365056600001</v>
      </c>
      <c r="BN146" s="129">
        <f t="shared" si="220"/>
        <v>0</v>
      </c>
      <c r="CB146" s="75">
        <f t="shared" si="154"/>
        <v>4422.825598232017</v>
      </c>
      <c r="CJ146" s="70">
        <f t="shared" si="162"/>
        <v>-8.8107299234252423E-13</v>
      </c>
      <c r="CL146" s="163"/>
      <c r="CM146" s="68"/>
      <c r="CN146" s="32">
        <f t="shared" ref="CN146" si="241">SUM(CN147:CN155)</f>
        <v>273.89</v>
      </c>
      <c r="CQ146" s="177">
        <f t="shared" si="155"/>
        <v>4813.7908070387166</v>
      </c>
      <c r="CR146" s="177">
        <f t="shared" si="156"/>
        <v>407.32821750005769</v>
      </c>
    </row>
    <row r="147" spans="1:96" ht="49.5" x14ac:dyDescent="0.3">
      <c r="B147" s="51" t="s">
        <v>89</v>
      </c>
      <c r="C147" s="76" t="s">
        <v>374</v>
      </c>
      <c r="D147" s="20" t="s">
        <v>264</v>
      </c>
      <c r="E147" s="21" t="s">
        <v>488</v>
      </c>
      <c r="F147" s="21">
        <f t="shared" ref="F147:F155" si="242">IF(K147&gt;0,2018,IF(AC147&gt;0,2019,IF(AE147&gt;0,2020,IF(AG147&gt;0,2021,IF(AI147&gt;0,2022,IF(AK147&gt;0,2023,IF(AM147&gt;0,2024,"нд")))))))</f>
        <v>2020</v>
      </c>
      <c r="G147" s="46">
        <f t="shared" ref="G147:G155" si="243">IF(AND(L147-(K147+AB147+AD147+AF147+AH147+AJ147+AL147)&lt;0.1,L147-(K147+AB147+AD147+AF147+AH147+AJ147+AL147)&gt;0.00001),"Ошибка в -",IF((K147+AB147+AD147+AF147+AH147+AJ147+AL147)&gt;L147,"Ошибка в +",IF(L147&gt;(K147+AB147+AD147+AF147+AH147+AJ147+AL147),2025,IF(AL147&gt;0,2024,IF(AJ147&gt;0,2023,IF(AH147&gt;0,2022,IF(AF147&gt;0,2021,IF(AD147&gt;0,2020,IF(AB147&gt;0,2019,IF(K147&gt;0,2018,"нд"))))))))))</f>
        <v>2025</v>
      </c>
      <c r="H147" s="46">
        <f t="shared" ref="H147:H155" si="244">IF(AND((Q147-(K147+AC147+AE147+AG147+AI147+AK147+AM147))&lt;0.1,Q147-(K147+AC147+AE147+AG147+AI147+AK147+AM147)&gt;0.0001),"Ошибка в -",IF((K147+AC147+AE147+AG147+AI147+AK147+AM147)&gt;Q147,"Ошибка в +",IF(Q147&gt;(K147+AC147+AE147+AG147+AI147+AK147+AM147),2025,IF(AM147&gt;0,2024,IF(AK147&gt;0,2023,IF(AI147&gt;0,2022,IF(AG147&gt;0,2021,IF(AE147&gt;0,2020,IF(AC147&gt;0,2019,IF(K147&gt;0,2018,"нд"))))))))))</f>
        <v>2024</v>
      </c>
      <c r="I147" s="22" t="s">
        <v>131</v>
      </c>
      <c r="J147" s="20" t="s">
        <v>131</v>
      </c>
      <c r="K147" s="20">
        <v>0</v>
      </c>
      <c r="L147" s="20">
        <f t="shared" si="176"/>
        <v>367.12245915820074</v>
      </c>
      <c r="M147" s="20">
        <v>33.040750165024562</v>
      </c>
      <c r="N147" s="20">
        <v>80.767483333231155</v>
      </c>
      <c r="O147" s="20">
        <v>238.63095424889798</v>
      </c>
      <c r="P147" s="20">
        <v>14.683271411047025</v>
      </c>
      <c r="Q147" s="20">
        <v>439.00924726</v>
      </c>
      <c r="R147" s="20">
        <f t="shared" ref="R147:R153" si="245">M147/L147*Q147</f>
        <v>39.510507998102518</v>
      </c>
      <c r="S147" s="20">
        <f t="shared" ref="S147:S153" si="246">N147/L147*Q147</f>
        <v>96.582682907794947</v>
      </c>
      <c r="T147" s="20">
        <f t="shared" ref="T147:T153" si="247">O147/L147*Q147</f>
        <v>285.3576319954874</v>
      </c>
      <c r="U147" s="20">
        <f t="shared" ref="U147:U153" si="248">P147/L147*Q147</f>
        <v>17.55842435861511</v>
      </c>
      <c r="V147" s="20">
        <v>0</v>
      </c>
      <c r="W147" s="20">
        <f t="shared" si="236"/>
        <v>367.12245915820074</v>
      </c>
      <c r="X147" s="20"/>
      <c r="Y147" s="20">
        <f t="shared" ref="Y147:Y155" si="249">W147-(AB147+AD147+AF147)</f>
        <v>341.00245915820074</v>
      </c>
      <c r="Z147" s="28"/>
      <c r="AA147" s="20">
        <f t="shared" ref="AA147:AA155" si="250">Q147-(K147+AC147+AE147+AG147)</f>
        <v>343.35204726000001</v>
      </c>
      <c r="AB147" s="20">
        <v>0</v>
      </c>
      <c r="AC147" s="20">
        <v>0</v>
      </c>
      <c r="AD147" s="20">
        <v>0</v>
      </c>
      <c r="AE147" s="20">
        <v>68.605000000000004</v>
      </c>
      <c r="AF147" s="20">
        <v>26.12</v>
      </c>
      <c r="AG147" s="20">
        <v>27.052200000000003</v>
      </c>
      <c r="AH147" s="20">
        <v>104.39924691161131</v>
      </c>
      <c r="AI147" s="20">
        <v>121.80839999999999</v>
      </c>
      <c r="AJ147" s="20">
        <v>82.232826729212277</v>
      </c>
      <c r="AK147" s="20">
        <v>110.796876</v>
      </c>
      <c r="AL147" s="20">
        <v>85.765385517377126</v>
      </c>
      <c r="AM147" s="20">
        <v>110.74677126</v>
      </c>
      <c r="AN147" s="20">
        <f t="shared" si="234"/>
        <v>298.51745915820072</v>
      </c>
      <c r="AO147" s="20">
        <f t="shared" si="234"/>
        <v>439.00924726</v>
      </c>
      <c r="AP147" s="94" t="s">
        <v>502</v>
      </c>
      <c r="AQ147" s="130"/>
      <c r="AR147" s="85">
        <f t="shared" si="163"/>
        <v>68.605000000000018</v>
      </c>
      <c r="AS147" s="85">
        <f t="shared" si="164"/>
        <v>0</v>
      </c>
      <c r="AT147" s="113">
        <f t="shared" si="166"/>
        <v>71.886788101799254</v>
      </c>
      <c r="AV147" s="105">
        <f t="shared" si="165"/>
        <v>0</v>
      </c>
      <c r="AX147" s="31">
        <v>634.66780403148289</v>
      </c>
      <c r="AY147" s="116"/>
      <c r="AZ147" s="118">
        <v>27.052200000000003</v>
      </c>
      <c r="BA147" s="118">
        <v>121.37</v>
      </c>
      <c r="BB147" s="118">
        <v>84.36981591</v>
      </c>
      <c r="BC147" s="118">
        <v>85.428669380000002</v>
      </c>
      <c r="BD147" s="8"/>
      <c r="BE147" s="118">
        <f t="shared" si="157"/>
        <v>0</v>
      </c>
      <c r="BF147" s="118">
        <f t="shared" si="158"/>
        <v>0.43839999999998724</v>
      </c>
      <c r="BG147" s="118">
        <f t="shared" si="159"/>
        <v>26.427060089999998</v>
      </c>
      <c r="BH147" s="118">
        <f t="shared" si="160"/>
        <v>25.31810188</v>
      </c>
      <c r="BI147" s="122">
        <f t="shared" si="161"/>
        <v>52.183561969999985</v>
      </c>
      <c r="BJ147" s="118">
        <f t="shared" ref="BJ147:BJ155" si="251">(AO147+AC147+K147)-Q147</f>
        <v>0</v>
      </c>
      <c r="BK147" s="108">
        <v>2024</v>
      </c>
      <c r="BL147" s="8" t="b">
        <f t="shared" ref="BL147:BL155" si="252">EXACT(BK147,H147)</f>
        <v>1</v>
      </c>
      <c r="BM147" s="128">
        <f t="shared" si="240"/>
        <v>439.00924726</v>
      </c>
      <c r="BN147" s="129">
        <f t="shared" si="220"/>
        <v>0</v>
      </c>
      <c r="BR147" s="73">
        <f t="shared" ref="BR147:BR155" si="253">K147/$BR$15</f>
        <v>0</v>
      </c>
      <c r="BS147" s="73">
        <f t="shared" ref="BS147:BS155" si="254">AC147/$BS$15</f>
        <v>0</v>
      </c>
      <c r="BT147" s="73">
        <f t="shared" ref="BT147:BT155" si="255">AE147/$BT$15</f>
        <v>62.610817139569264</v>
      </c>
      <c r="BU147" s="73">
        <f t="shared" ref="BU147:BU155" si="256">AG147/$BU$15</f>
        <v>23.684887374410327</v>
      </c>
      <c r="BV147" s="73">
        <f t="shared" ref="BV147:BV155" si="257">AI147/$BV$15</f>
        <v>102.22995390604656</v>
      </c>
      <c r="BW147" s="73">
        <f t="shared" ref="BW147:BW155" si="258">AK147/$BW$15</f>
        <v>89.077733970025832</v>
      </c>
      <c r="BX147" s="73">
        <f t="shared" ref="BX147:BX155" si="259">AM147/$BX$15</f>
        <v>85.26036195888959</v>
      </c>
      <c r="BY147" s="73">
        <f t="shared" ref="BY147:BY155" si="260">(Q147-K147-AC147-AE147-AG147-AI147-AK147-AM147)/$BY$15</f>
        <v>-4.1905472563361011E-14</v>
      </c>
      <c r="BZ147" s="74">
        <f t="shared" ref="BZ147:BZ155" si="261">SUM(BR147:BY147)*1.2</f>
        <v>435.43650521872985</v>
      </c>
      <c r="CB147" s="75">
        <f t="shared" ref="CB147:CB210" si="262">((Q147-(K147+AC147+AE147+AG147+AI147+AK147+AM147))/$BY$15+K147/$BR$15+AC147/$BS$15+AE147/$BT$15+AG147/$BU$15+AI147/$BV$15+AK147/$BW$15+AM147/$BX$15)*1.2</f>
        <v>435.43650521872991</v>
      </c>
      <c r="CE147" s="8"/>
      <c r="CJ147" s="70">
        <f t="shared" si="162"/>
        <v>0</v>
      </c>
      <c r="CL147" s="163"/>
      <c r="CM147" s="68"/>
      <c r="CN147" s="20"/>
      <c r="CQ147" s="177">
        <f t="shared" ref="CQ147:CQ210" si="263">AE147+AG147+AH147+AJ147+AL147</f>
        <v>368.05465915820071</v>
      </c>
      <c r="CR147" s="177">
        <f t="shared" ref="CR147:CR210" si="264">CQ147-AN147</f>
        <v>69.537199999999984</v>
      </c>
    </row>
    <row r="148" spans="1:96" ht="49.5" x14ac:dyDescent="0.3">
      <c r="B148" s="51" t="s">
        <v>89</v>
      </c>
      <c r="C148" s="76" t="s">
        <v>376</v>
      </c>
      <c r="D148" s="20" t="s">
        <v>266</v>
      </c>
      <c r="E148" s="21" t="s">
        <v>488</v>
      </c>
      <c r="F148" s="21">
        <f t="shared" si="242"/>
        <v>2020</v>
      </c>
      <c r="G148" s="46">
        <f t="shared" si="243"/>
        <v>2025</v>
      </c>
      <c r="H148" s="46">
        <f t="shared" si="244"/>
        <v>2024</v>
      </c>
      <c r="I148" s="22" t="s">
        <v>131</v>
      </c>
      <c r="J148" s="20" t="s">
        <v>131</v>
      </c>
      <c r="K148" s="20">
        <v>0</v>
      </c>
      <c r="L148" s="20">
        <f>M148+N148+O148+P148</f>
        <v>430.2743402561278</v>
      </c>
      <c r="M148" s="20">
        <v>38.728253479857372</v>
      </c>
      <c r="N148" s="20">
        <v>94.665105332089269</v>
      </c>
      <c r="O148" s="20">
        <v>279.68425926115953</v>
      </c>
      <c r="P148" s="20">
        <v>17.19672218302161</v>
      </c>
      <c r="Q148" s="20">
        <v>347.38513418000002</v>
      </c>
      <c r="R148" s="20">
        <f>M148/L148*Q148</f>
        <v>31.267538574688931</v>
      </c>
      <c r="S148" s="20">
        <f>N148/L148*Q148</f>
        <v>76.428564850918576</v>
      </c>
      <c r="T148" s="20">
        <f>O148/L148*Q148</f>
        <v>225.80513138114821</v>
      </c>
      <c r="U148" s="20">
        <f>P148/L148*Q148</f>
        <v>13.883899373244271</v>
      </c>
      <c r="V148" s="20">
        <v>0</v>
      </c>
      <c r="W148" s="20">
        <f>L148-K148</f>
        <v>430.2743402561278</v>
      </c>
      <c r="X148" s="20"/>
      <c r="Y148" s="20">
        <f>W148-(AB148+AD148+AF148)</f>
        <v>340.23647047618567</v>
      </c>
      <c r="Z148" s="28"/>
      <c r="AA148" s="20">
        <f>Q148-(K148+AC148+AE148+AG148)</f>
        <v>241.55583418000003</v>
      </c>
      <c r="AB148" s="20">
        <v>0</v>
      </c>
      <c r="AC148" s="20">
        <v>0</v>
      </c>
      <c r="AD148" s="174">
        <v>36.200000000000003</v>
      </c>
      <c r="AE148" s="20">
        <v>51.333300000000001</v>
      </c>
      <c r="AF148" s="20">
        <v>53.837869779942153</v>
      </c>
      <c r="AG148" s="20">
        <v>54.496000000000002</v>
      </c>
      <c r="AH148" s="20">
        <v>176.5632797036055</v>
      </c>
      <c r="AI148" s="20">
        <v>84.567899999999995</v>
      </c>
      <c r="AJ148" s="20">
        <v>74.472619115527294</v>
      </c>
      <c r="AK148" s="20">
        <v>77.934609980000005</v>
      </c>
      <c r="AL148" s="20">
        <v>74.067271657052729</v>
      </c>
      <c r="AM148" s="20">
        <v>79.053324200000006</v>
      </c>
      <c r="AN148" s="20">
        <f>SUM(AD148+AF148+AH148+AJ148+AL148)</f>
        <v>415.14104025612767</v>
      </c>
      <c r="AO148" s="20">
        <f>SUM(AE148+AG148+AI148+AK148+AM148)</f>
        <v>347.38513418000002</v>
      </c>
      <c r="AP148" s="94" t="s">
        <v>459</v>
      </c>
      <c r="AQ148" s="130"/>
      <c r="AR148" s="85">
        <f>L148-(K148+AB148+AD148+AF148+AH148+AJ148+AL148)</f>
        <v>15.133300000000133</v>
      </c>
      <c r="AS148" s="85">
        <f>Q148-(K148+AC148+AE148+AG148+AI148+AK148+AM148)</f>
        <v>0</v>
      </c>
      <c r="AT148" s="113">
        <f t="shared" si="166"/>
        <v>-82.889206076127778</v>
      </c>
      <c r="AV148" s="105">
        <f t="shared" si="165"/>
        <v>0</v>
      </c>
      <c r="AX148" s="31">
        <v>497.40603969309848</v>
      </c>
      <c r="AY148" s="116"/>
      <c r="AZ148" s="118">
        <v>54.496000000000002</v>
      </c>
      <c r="BA148" s="118">
        <v>81.789999999999992</v>
      </c>
      <c r="BB148" s="118">
        <v>58.767191079999996</v>
      </c>
      <c r="BC148" s="118">
        <v>60.077810559999996</v>
      </c>
      <c r="BD148" s="8"/>
      <c r="BE148" s="118">
        <f t="shared" si="157"/>
        <v>0</v>
      </c>
      <c r="BF148" s="118">
        <f t="shared" si="158"/>
        <v>2.7779000000000025</v>
      </c>
      <c r="BG148" s="118">
        <f t="shared" si="159"/>
        <v>19.167418900000008</v>
      </c>
      <c r="BH148" s="118">
        <f t="shared" si="160"/>
        <v>18.97551364000001</v>
      </c>
      <c r="BI148" s="122">
        <f t="shared" si="161"/>
        <v>40.920832540000021</v>
      </c>
      <c r="BJ148" s="118">
        <f t="shared" si="251"/>
        <v>0</v>
      </c>
      <c r="BK148" s="108">
        <v>2024</v>
      </c>
      <c r="BL148" s="8" t="b">
        <f t="shared" si="252"/>
        <v>1</v>
      </c>
      <c r="BM148" s="128">
        <f t="shared" si="240"/>
        <v>347.38513418000002</v>
      </c>
      <c r="BN148" s="129">
        <f t="shared" si="220"/>
        <v>0</v>
      </c>
      <c r="BR148" s="73">
        <f>K148/$BR$15</f>
        <v>0</v>
      </c>
      <c r="BS148" s="73">
        <f>AC148/$BS$15</f>
        <v>0</v>
      </c>
      <c r="BT148" s="73">
        <f>AE148/$BT$15</f>
        <v>46.848186859130543</v>
      </c>
      <c r="BU148" s="73">
        <f>AG148/$BU$15</f>
        <v>47.712630483135015</v>
      </c>
      <c r="BV148" s="73">
        <f>AI148/$BV$15</f>
        <v>70.975175102301279</v>
      </c>
      <c r="BW148" s="73">
        <f>AK148/$BW$15</f>
        <v>62.657348343072059</v>
      </c>
      <c r="BX148" s="73">
        <f>AM148/$BX$15</f>
        <v>60.860600798209184</v>
      </c>
      <c r="BY148" s="73">
        <f>(Q148-K148-AC148-AE148-AG148-AI148-AK148-AM148)/$BY$15</f>
        <v>1.0476368140840253E-14</v>
      </c>
      <c r="BZ148" s="74">
        <f>SUM(BR148:BY148)*1.2</f>
        <v>346.86472990301769</v>
      </c>
      <c r="CB148" s="75">
        <f>((Q148-(K148+AC148+AE148+AG148+AI148+AK148+AM148))/$BY$15+K148/$BR$15+AC148/$BS$15+AE148/$BT$15+AG148/$BU$15+AI148/$BV$15+AK148/$BW$15+AM148/$BX$15)*1.2</f>
        <v>346.86472990301769</v>
      </c>
      <c r="CE148" s="8"/>
      <c r="CJ148" s="70">
        <f>Q148-R148-S148-T148-U148</f>
        <v>0</v>
      </c>
      <c r="CL148" s="163"/>
      <c r="CM148" s="68"/>
      <c r="CN148" s="20">
        <v>36.229999999999997</v>
      </c>
      <c r="CQ148" s="177">
        <f t="shared" si="263"/>
        <v>430.93247047618559</v>
      </c>
      <c r="CR148" s="177">
        <f t="shared" si="264"/>
        <v>15.791430220057919</v>
      </c>
    </row>
    <row r="149" spans="1:96" ht="49.5" x14ac:dyDescent="0.3">
      <c r="B149" s="51" t="s">
        <v>89</v>
      </c>
      <c r="C149" s="76" t="s">
        <v>375</v>
      </c>
      <c r="D149" s="20" t="s">
        <v>265</v>
      </c>
      <c r="E149" s="21" t="s">
        <v>488</v>
      </c>
      <c r="F149" s="21">
        <f t="shared" si="242"/>
        <v>2020</v>
      </c>
      <c r="G149" s="46">
        <f t="shared" si="243"/>
        <v>2025</v>
      </c>
      <c r="H149" s="46">
        <f t="shared" si="244"/>
        <v>2024</v>
      </c>
      <c r="I149" s="22" t="s">
        <v>131</v>
      </c>
      <c r="J149" s="20" t="s">
        <v>131</v>
      </c>
      <c r="K149" s="20">
        <v>0</v>
      </c>
      <c r="L149" s="20">
        <f t="shared" si="176"/>
        <v>613.21950932987397</v>
      </c>
      <c r="M149" s="20">
        <v>55.191687239718043</v>
      </c>
      <c r="N149" s="20">
        <v>134.90829205257225</v>
      </c>
      <c r="O149" s="20">
        <v>398.59461246444749</v>
      </c>
      <c r="P149" s="20">
        <v>24.524917573136189</v>
      </c>
      <c r="Q149" s="20">
        <v>479.50292988000001</v>
      </c>
      <c r="R149" s="20">
        <f t="shared" si="245"/>
        <v>43.156773934648442</v>
      </c>
      <c r="S149" s="20">
        <f t="shared" si="246"/>
        <v>105.49064457359999</v>
      </c>
      <c r="T149" s="20">
        <f t="shared" si="247"/>
        <v>311.67841466744846</v>
      </c>
      <c r="U149" s="20">
        <f t="shared" si="248"/>
        <v>19.177096704303118</v>
      </c>
      <c r="V149" s="20">
        <v>0</v>
      </c>
      <c r="W149" s="20">
        <f t="shared" si="236"/>
        <v>613.21950932987397</v>
      </c>
      <c r="X149" s="20"/>
      <c r="Y149" s="20">
        <f t="shared" si="249"/>
        <v>553.71377196987396</v>
      </c>
      <c r="Z149" s="28"/>
      <c r="AA149" s="20">
        <f t="shared" si="250"/>
        <v>251.20762988000001</v>
      </c>
      <c r="AB149" s="20">
        <v>0</v>
      </c>
      <c r="AC149" s="20">
        <v>0</v>
      </c>
      <c r="AD149" s="20">
        <v>0</v>
      </c>
      <c r="AE149" s="20">
        <v>168.0421</v>
      </c>
      <c r="AF149" s="20">
        <v>59.505737359999998</v>
      </c>
      <c r="AG149" s="20">
        <v>60.2532</v>
      </c>
      <c r="AH149" s="20">
        <v>245.348179382447</v>
      </c>
      <c r="AI149" s="20">
        <v>97.359300000000005</v>
      </c>
      <c r="AJ149" s="20">
        <v>69.181398857694958</v>
      </c>
      <c r="AK149" s="20">
        <v>73.435882640000003</v>
      </c>
      <c r="AL149" s="20">
        <v>71.142093729732011</v>
      </c>
      <c r="AM149" s="20">
        <v>80.41244724000002</v>
      </c>
      <c r="AN149" s="20">
        <f t="shared" si="234"/>
        <v>445.17740932987397</v>
      </c>
      <c r="AO149" s="20">
        <f t="shared" si="234"/>
        <v>479.50292988000001</v>
      </c>
      <c r="AP149" s="94" t="s">
        <v>502</v>
      </c>
      <c r="AQ149" s="130"/>
      <c r="AR149" s="85">
        <f t="shared" si="163"/>
        <v>168.0421</v>
      </c>
      <c r="AS149" s="85">
        <f t="shared" si="164"/>
        <v>0</v>
      </c>
      <c r="AT149" s="113">
        <f t="shared" si="166"/>
        <v>-133.71657944987396</v>
      </c>
      <c r="AV149" s="105">
        <f t="shared" si="165"/>
        <v>0</v>
      </c>
      <c r="AX149" s="31">
        <v>1152.1179409132424</v>
      </c>
      <c r="AY149" s="116"/>
      <c r="AZ149" s="118">
        <v>60.2532</v>
      </c>
      <c r="BA149" s="118">
        <v>95.24</v>
      </c>
      <c r="BB149" s="118">
        <v>55.291555990000006</v>
      </c>
      <c r="BC149" s="118">
        <v>61.182723689999996</v>
      </c>
      <c r="BD149" s="8"/>
      <c r="BE149" s="118">
        <f t="shared" si="157"/>
        <v>0</v>
      </c>
      <c r="BF149" s="118">
        <f t="shared" si="158"/>
        <v>2.1193000000000097</v>
      </c>
      <c r="BG149" s="118">
        <f t="shared" si="159"/>
        <v>18.144326649999996</v>
      </c>
      <c r="BH149" s="118">
        <f t="shared" si="160"/>
        <v>19.229723550000024</v>
      </c>
      <c r="BI149" s="122">
        <f t="shared" si="161"/>
        <v>39.49335020000003</v>
      </c>
      <c r="BJ149" s="118">
        <f t="shared" si="251"/>
        <v>0</v>
      </c>
      <c r="BK149" s="108">
        <v>2024</v>
      </c>
      <c r="BL149" s="8" t="b">
        <f t="shared" si="252"/>
        <v>1</v>
      </c>
      <c r="BM149" s="128">
        <f t="shared" si="240"/>
        <v>479.50292988000001</v>
      </c>
      <c r="BN149" s="129">
        <f t="shared" si="220"/>
        <v>0</v>
      </c>
      <c r="BR149" s="73">
        <f t="shared" si="253"/>
        <v>0</v>
      </c>
      <c r="BS149" s="73">
        <f t="shared" si="254"/>
        <v>0</v>
      </c>
      <c r="BT149" s="73">
        <f t="shared" si="255"/>
        <v>153.35985999342921</v>
      </c>
      <c r="BU149" s="73">
        <f t="shared" si="256"/>
        <v>52.753205134806791</v>
      </c>
      <c r="BV149" s="73">
        <f t="shared" si="257"/>
        <v>81.71059427202853</v>
      </c>
      <c r="BW149" s="73">
        <f t="shared" si="258"/>
        <v>59.040491517648547</v>
      </c>
      <c r="BX149" s="73">
        <f t="shared" si="259"/>
        <v>61.90694572563843</v>
      </c>
      <c r="BY149" s="73">
        <f t="shared" si="260"/>
        <v>-2.0952736281680505E-14</v>
      </c>
      <c r="BZ149" s="74">
        <f t="shared" si="261"/>
        <v>490.52531597226181</v>
      </c>
      <c r="CB149" s="75">
        <f t="shared" si="262"/>
        <v>490.52531597226181</v>
      </c>
      <c r="CE149" s="8"/>
      <c r="CJ149" s="70">
        <f t="shared" si="162"/>
        <v>3.5527136788005009E-14</v>
      </c>
      <c r="CL149" s="163"/>
      <c r="CM149" s="68"/>
      <c r="CN149" s="20"/>
      <c r="CQ149" s="177">
        <f t="shared" si="263"/>
        <v>613.96697196987395</v>
      </c>
      <c r="CR149" s="177">
        <f t="shared" si="264"/>
        <v>168.78956263999999</v>
      </c>
    </row>
    <row r="150" spans="1:96" ht="49.5" x14ac:dyDescent="0.3">
      <c r="B150" s="51" t="s">
        <v>89</v>
      </c>
      <c r="C150" s="76" t="s">
        <v>377</v>
      </c>
      <c r="D150" s="20" t="s">
        <v>267</v>
      </c>
      <c r="E150" s="21" t="s">
        <v>488</v>
      </c>
      <c r="F150" s="21">
        <f t="shared" si="242"/>
        <v>2020</v>
      </c>
      <c r="G150" s="46">
        <f t="shared" si="243"/>
        <v>2025</v>
      </c>
      <c r="H150" s="46">
        <f t="shared" si="244"/>
        <v>2024</v>
      </c>
      <c r="I150" s="22" t="s">
        <v>131</v>
      </c>
      <c r="J150" s="20" t="s">
        <v>131</v>
      </c>
      <c r="K150" s="20">
        <v>0</v>
      </c>
      <c r="L150" s="20">
        <f t="shared" si="176"/>
        <v>672.49090155895419</v>
      </c>
      <c r="M150" s="20">
        <v>60.525156330128326</v>
      </c>
      <c r="N150" s="20">
        <v>147.94604796332501</v>
      </c>
      <c r="O150" s="20">
        <v>437.11908601332016</v>
      </c>
      <c r="P150" s="20">
        <v>26.900611252180614</v>
      </c>
      <c r="Q150" s="20">
        <v>386.23722786999997</v>
      </c>
      <c r="R150" s="20">
        <f t="shared" si="245"/>
        <v>34.761910597087514</v>
      </c>
      <c r="S150" s="20">
        <f t="shared" si="246"/>
        <v>84.971069953824951</v>
      </c>
      <c r="T150" s="20">
        <f t="shared" si="247"/>
        <v>251.05419811549996</v>
      </c>
      <c r="U150" s="20">
        <f t="shared" si="248"/>
        <v>15.450049203587513</v>
      </c>
      <c r="V150" s="20">
        <v>0</v>
      </c>
      <c r="W150" s="20">
        <f t="shared" si="236"/>
        <v>672.49090155895419</v>
      </c>
      <c r="X150" s="20"/>
      <c r="Y150" s="20">
        <f t="shared" si="249"/>
        <v>620.64090155895417</v>
      </c>
      <c r="Z150" s="28"/>
      <c r="AA150" s="20">
        <f t="shared" si="250"/>
        <v>302.38342786999999</v>
      </c>
      <c r="AB150" s="20">
        <v>0</v>
      </c>
      <c r="AC150" s="20">
        <v>0</v>
      </c>
      <c r="AD150" s="20">
        <v>0</v>
      </c>
      <c r="AE150" s="20">
        <v>32.885700000000007</v>
      </c>
      <c r="AF150" s="20">
        <v>51.85</v>
      </c>
      <c r="AG150" s="20">
        <v>50.968099999999993</v>
      </c>
      <c r="AH150" s="20">
        <v>329.30939022568424</v>
      </c>
      <c r="AI150" s="20">
        <v>88.202600000000004</v>
      </c>
      <c r="AJ150" s="20">
        <v>163.16710292970404</v>
      </c>
      <c r="AK150" s="20">
        <v>112.20291569</v>
      </c>
      <c r="AL150" s="20">
        <v>95.278708403565858</v>
      </c>
      <c r="AM150" s="20">
        <v>101.97791218</v>
      </c>
      <c r="AN150" s="20">
        <f t="shared" si="234"/>
        <v>639.60520155895415</v>
      </c>
      <c r="AO150" s="20">
        <f t="shared" si="234"/>
        <v>386.23722786999997</v>
      </c>
      <c r="AP150" s="94" t="s">
        <v>502</v>
      </c>
      <c r="AQ150" s="130"/>
      <c r="AR150" s="85">
        <f t="shared" si="163"/>
        <v>32.885700000000043</v>
      </c>
      <c r="AS150" s="85">
        <f t="shared" si="164"/>
        <v>0</v>
      </c>
      <c r="AT150" s="113">
        <f t="shared" si="166"/>
        <v>-286.25367368895422</v>
      </c>
      <c r="AV150" s="105">
        <f t="shared" si="165"/>
        <v>0</v>
      </c>
      <c r="AX150" s="31">
        <v>1208.1132707384324</v>
      </c>
      <c r="AY150" s="116"/>
      <c r="AZ150" s="118">
        <v>50.968099999999993</v>
      </c>
      <c r="BA150" s="118">
        <v>88.38000000000001</v>
      </c>
      <c r="BB150" s="118">
        <v>85.047471449999989</v>
      </c>
      <c r="BC150" s="118">
        <v>77.791619659999995</v>
      </c>
      <c r="BD150" s="8"/>
      <c r="BE150" s="118">
        <f t="shared" si="157"/>
        <v>0</v>
      </c>
      <c r="BF150" s="118">
        <f t="shared" si="158"/>
        <v>-0.17740000000000578</v>
      </c>
      <c r="BG150" s="118">
        <f t="shared" si="159"/>
        <v>27.155444240000008</v>
      </c>
      <c r="BH150" s="118">
        <f t="shared" si="160"/>
        <v>24.186292520000009</v>
      </c>
      <c r="BI150" s="122">
        <f t="shared" si="161"/>
        <v>51.164336760000012</v>
      </c>
      <c r="BJ150" s="118">
        <f t="shared" si="251"/>
        <v>0</v>
      </c>
      <c r="BK150" s="108">
        <v>2024</v>
      </c>
      <c r="BL150" s="8" t="b">
        <f t="shared" si="252"/>
        <v>1</v>
      </c>
      <c r="BM150" s="128">
        <f t="shared" si="240"/>
        <v>386.23722786999997</v>
      </c>
      <c r="BN150" s="129">
        <f t="shared" si="220"/>
        <v>0</v>
      </c>
      <c r="BR150" s="73">
        <f t="shared" si="253"/>
        <v>0</v>
      </c>
      <c r="BS150" s="73">
        <f t="shared" si="254"/>
        <v>0</v>
      </c>
      <c r="BT150" s="73">
        <f t="shared" si="255"/>
        <v>30.012397772855234</v>
      </c>
      <c r="BU150" s="73">
        <f t="shared" si="256"/>
        <v>44.623864535515885</v>
      </c>
      <c r="BV150" s="73">
        <f t="shared" si="257"/>
        <v>74.025664341650199</v>
      </c>
      <c r="BW150" s="73">
        <f t="shared" si="258"/>
        <v>90.208152389558862</v>
      </c>
      <c r="BX150" s="73">
        <f t="shared" si="259"/>
        <v>78.509500596330568</v>
      </c>
      <c r="BY150" s="73">
        <f t="shared" si="260"/>
        <v>-2.0952736281680505E-14</v>
      </c>
      <c r="BZ150" s="74">
        <f t="shared" si="261"/>
        <v>380.85549556309286</v>
      </c>
      <c r="CB150" s="75">
        <f t="shared" si="262"/>
        <v>380.85549556309286</v>
      </c>
      <c r="CE150" s="8"/>
      <c r="CJ150" s="70">
        <f t="shared" si="162"/>
        <v>0</v>
      </c>
      <c r="CL150" s="163"/>
      <c r="CM150" s="68"/>
      <c r="CN150" s="20"/>
      <c r="CQ150" s="177">
        <f t="shared" si="263"/>
        <v>671.60900155895411</v>
      </c>
      <c r="CR150" s="177">
        <f t="shared" si="264"/>
        <v>32.003799999999956</v>
      </c>
    </row>
    <row r="151" spans="1:96" ht="49.5" x14ac:dyDescent="0.3">
      <c r="B151" s="51" t="s">
        <v>89</v>
      </c>
      <c r="C151" s="76" t="s">
        <v>378</v>
      </c>
      <c r="D151" s="20" t="s">
        <v>268</v>
      </c>
      <c r="E151" s="21" t="s">
        <v>488</v>
      </c>
      <c r="F151" s="21">
        <f t="shared" si="242"/>
        <v>2020</v>
      </c>
      <c r="G151" s="46">
        <f t="shared" si="243"/>
        <v>2025</v>
      </c>
      <c r="H151" s="46">
        <f t="shared" si="244"/>
        <v>2024</v>
      </c>
      <c r="I151" s="22" t="s">
        <v>131</v>
      </c>
      <c r="J151" s="20" t="s">
        <v>131</v>
      </c>
      <c r="K151" s="20">
        <v>0</v>
      </c>
      <c r="L151" s="20">
        <f t="shared" si="176"/>
        <v>341.89068298132207</v>
      </c>
      <c r="M151" s="20">
        <v>30.770161468318982</v>
      </c>
      <c r="N151" s="20">
        <v>75.215950255890846</v>
      </c>
      <c r="O151" s="20">
        <v>222.22894393785933</v>
      </c>
      <c r="P151" s="20">
        <v>13.675627319252881</v>
      </c>
      <c r="Q151" s="20">
        <v>581.51751036999997</v>
      </c>
      <c r="R151" s="20">
        <f t="shared" si="245"/>
        <v>52.33657593329999</v>
      </c>
      <c r="S151" s="20">
        <f t="shared" si="246"/>
        <v>127.93385228139998</v>
      </c>
      <c r="T151" s="20">
        <f t="shared" si="247"/>
        <v>377.98638174049995</v>
      </c>
      <c r="U151" s="20">
        <f t="shared" si="248"/>
        <v>23.260700414799995</v>
      </c>
      <c r="V151" s="20">
        <v>0</v>
      </c>
      <c r="W151" s="20">
        <f t="shared" si="236"/>
        <v>341.89068298132207</v>
      </c>
      <c r="X151" s="20"/>
      <c r="Y151" s="20">
        <f t="shared" si="249"/>
        <v>266.77909219132209</v>
      </c>
      <c r="Z151" s="28"/>
      <c r="AA151" s="20">
        <f t="shared" si="250"/>
        <v>481.34021036999997</v>
      </c>
      <c r="AB151" s="20">
        <v>0</v>
      </c>
      <c r="AC151" s="20">
        <v>0</v>
      </c>
      <c r="AD151" s="20">
        <v>0</v>
      </c>
      <c r="AE151" s="20">
        <v>24.112800000000004</v>
      </c>
      <c r="AF151" s="20">
        <v>75.111590789999994</v>
      </c>
      <c r="AG151" s="20">
        <v>76.06450000000001</v>
      </c>
      <c r="AH151" s="20">
        <v>109.10453487488358</v>
      </c>
      <c r="AI151" s="20">
        <v>109.15569999999998</v>
      </c>
      <c r="AJ151" s="20">
        <v>51.285282950386161</v>
      </c>
      <c r="AK151" s="20">
        <v>175.35721830999998</v>
      </c>
      <c r="AL151" s="20">
        <v>82.276474366052298</v>
      </c>
      <c r="AM151" s="20">
        <v>196.82729205999999</v>
      </c>
      <c r="AN151" s="20">
        <f t="shared" si="234"/>
        <v>317.77788298132202</v>
      </c>
      <c r="AO151" s="20">
        <f t="shared" si="234"/>
        <v>581.51751036999997</v>
      </c>
      <c r="AP151" s="94" t="s">
        <v>502</v>
      </c>
      <c r="AQ151" s="130"/>
      <c r="AR151" s="85">
        <f t="shared" si="163"/>
        <v>24.11280000000005</v>
      </c>
      <c r="AS151" s="85">
        <f t="shared" si="164"/>
        <v>0</v>
      </c>
      <c r="AT151" s="113">
        <f t="shared" si="166"/>
        <v>239.6268273886779</v>
      </c>
      <c r="AV151" s="105">
        <f t="shared" si="165"/>
        <v>0</v>
      </c>
      <c r="AX151" s="31">
        <v>7275.6045744349685</v>
      </c>
      <c r="AY151" s="116"/>
      <c r="AZ151" s="118">
        <v>76.06450000000001</v>
      </c>
      <c r="BA151" s="118">
        <v>122.47999999999999</v>
      </c>
      <c r="BB151" s="118">
        <v>133.76079756000001</v>
      </c>
      <c r="BC151" s="118">
        <v>152.25273490999999</v>
      </c>
      <c r="BD151" s="8"/>
      <c r="BE151" s="118">
        <f t="shared" si="157"/>
        <v>0</v>
      </c>
      <c r="BF151" s="118">
        <f t="shared" si="158"/>
        <v>-13.324300000000008</v>
      </c>
      <c r="BG151" s="118">
        <f t="shared" si="159"/>
        <v>41.596420749999965</v>
      </c>
      <c r="BH151" s="118">
        <f t="shared" si="160"/>
        <v>44.574557150000004</v>
      </c>
      <c r="BI151" s="122">
        <f t="shared" si="161"/>
        <v>72.84667789999996</v>
      </c>
      <c r="BJ151" s="118">
        <f t="shared" si="251"/>
        <v>0</v>
      </c>
      <c r="BK151" s="108">
        <v>2024</v>
      </c>
      <c r="BL151" s="8" t="b">
        <f t="shared" si="252"/>
        <v>1</v>
      </c>
      <c r="BM151" s="128">
        <f t="shared" si="240"/>
        <v>581.51751036999997</v>
      </c>
      <c r="BN151" s="129">
        <f t="shared" si="220"/>
        <v>0</v>
      </c>
      <c r="BR151" s="73">
        <f t="shared" si="253"/>
        <v>0</v>
      </c>
      <c r="BS151" s="73">
        <f t="shared" si="254"/>
        <v>0</v>
      </c>
      <c r="BT151" s="73">
        <f t="shared" si="255"/>
        <v>22.006007018774227</v>
      </c>
      <c r="BU151" s="73">
        <f t="shared" si="256"/>
        <v>66.596399394165147</v>
      </c>
      <c r="BV151" s="73">
        <f t="shared" si="257"/>
        <v>91.610941278124059</v>
      </c>
      <c r="BW151" s="73">
        <f t="shared" si="258"/>
        <v>140.98252772345242</v>
      </c>
      <c r="BX151" s="73">
        <f t="shared" si="259"/>
        <v>151.53097443378843</v>
      </c>
      <c r="BY151" s="73">
        <f t="shared" si="260"/>
        <v>2.0952736281680505E-14</v>
      </c>
      <c r="BZ151" s="74">
        <f t="shared" si="261"/>
        <v>567.27221981796504</v>
      </c>
      <c r="CB151" s="75">
        <f t="shared" si="262"/>
        <v>567.27221981796504</v>
      </c>
      <c r="CE151" s="8"/>
      <c r="CJ151" s="70">
        <f t="shared" si="162"/>
        <v>6.0396132539608516E-14</v>
      </c>
      <c r="CL151" s="163"/>
      <c r="CM151" s="68"/>
      <c r="CN151" s="20"/>
      <c r="CQ151" s="177">
        <f t="shared" si="263"/>
        <v>342.84359219132205</v>
      </c>
      <c r="CR151" s="177">
        <f t="shared" si="264"/>
        <v>25.065709210000023</v>
      </c>
    </row>
    <row r="152" spans="1:96" s="8" customFormat="1" ht="57.75" customHeight="1" x14ac:dyDescent="0.3">
      <c r="A152" s="44"/>
      <c r="B152" s="51" t="s">
        <v>89</v>
      </c>
      <c r="C152" s="76" t="s">
        <v>380</v>
      </c>
      <c r="D152" s="20" t="s">
        <v>512</v>
      </c>
      <c r="E152" s="21" t="s">
        <v>488</v>
      </c>
      <c r="F152" s="21">
        <f t="shared" si="242"/>
        <v>2020</v>
      </c>
      <c r="G152" s="46">
        <f t="shared" si="243"/>
        <v>2025</v>
      </c>
      <c r="H152" s="46">
        <f t="shared" si="244"/>
        <v>2024</v>
      </c>
      <c r="I152" s="22" t="s">
        <v>131</v>
      </c>
      <c r="J152" s="20" t="s">
        <v>131</v>
      </c>
      <c r="K152" s="20">
        <v>0</v>
      </c>
      <c r="L152" s="20">
        <f>M152+N152+O152+P152</f>
        <v>253.35950009340368</v>
      </c>
      <c r="M152" s="20">
        <v>22.802355008406334</v>
      </c>
      <c r="N152" s="20">
        <v>55.739090020548815</v>
      </c>
      <c r="O152" s="20">
        <v>164.6836750607124</v>
      </c>
      <c r="P152" s="20">
        <v>10.134380003736149</v>
      </c>
      <c r="Q152" s="20">
        <v>325.19669633000001</v>
      </c>
      <c r="R152" s="20">
        <f>Q152*0.09</f>
        <v>29.2677026697</v>
      </c>
      <c r="S152" s="20">
        <f>Q152*0.22</f>
        <v>71.543273192599997</v>
      </c>
      <c r="T152" s="20">
        <f>Q152*0.65</f>
        <v>211.3778526145</v>
      </c>
      <c r="U152" s="20">
        <f>Q152*0.04</f>
        <v>13.0078678532</v>
      </c>
      <c r="V152" s="20">
        <v>0</v>
      </c>
      <c r="W152" s="20">
        <f>L152-K152</f>
        <v>253.35950009340368</v>
      </c>
      <c r="X152" s="20"/>
      <c r="Y152" s="20">
        <f>W152-(AB152+AD152+AF152)</f>
        <v>200.05315746340366</v>
      </c>
      <c r="Z152" s="28"/>
      <c r="AA152" s="20">
        <f>Q152-(K152+AC152+AE152+AG152)</f>
        <v>240.31099633000002</v>
      </c>
      <c r="AB152" s="20">
        <v>0</v>
      </c>
      <c r="AC152" s="20">
        <v>0</v>
      </c>
      <c r="AD152" s="20">
        <v>0</v>
      </c>
      <c r="AE152" s="20">
        <v>31.7362</v>
      </c>
      <c r="AF152" s="20">
        <v>53.30634263000001</v>
      </c>
      <c r="AG152" s="20">
        <v>53.149500000000003</v>
      </c>
      <c r="AH152" s="20">
        <v>80.91570159174978</v>
      </c>
      <c r="AI152" s="20">
        <v>42.566499999999998</v>
      </c>
      <c r="AJ152" s="20">
        <v>45.962967133915889</v>
      </c>
      <c r="AK152" s="20">
        <v>102.87466694</v>
      </c>
      <c r="AL152" s="20">
        <v>41.438288737738006</v>
      </c>
      <c r="AM152" s="20">
        <v>94.869829390000007</v>
      </c>
      <c r="AN152" s="20">
        <f>SUM(AD152+AF152+AH152+AJ152+AL152)</f>
        <v>221.62330009340371</v>
      </c>
      <c r="AO152" s="20">
        <f>SUM(AE152+AG152+AI152+AK152+AM152)</f>
        <v>325.19669633000001</v>
      </c>
      <c r="AP152" s="94" t="s">
        <v>502</v>
      </c>
      <c r="AQ152" s="130"/>
      <c r="AR152" s="85">
        <f>L152-(K152+AB152+AD152+AF152+AH152+AJ152+AL152)</f>
        <v>31.736199999999968</v>
      </c>
      <c r="AS152" s="85">
        <f>Q152-(K152+AC152+AE152+AG152+AI152+AK152+AM152)</f>
        <v>0</v>
      </c>
      <c r="AT152" s="113">
        <f t="shared" si="166"/>
        <v>71.837196236596327</v>
      </c>
      <c r="AV152" s="105">
        <f t="shared" si="165"/>
        <v>0</v>
      </c>
      <c r="AX152" s="31">
        <v>918.93838245047141</v>
      </c>
      <c r="AY152" s="116"/>
      <c r="AZ152" s="118">
        <v>53.149500000000003</v>
      </c>
      <c r="BA152" s="118">
        <v>45.05</v>
      </c>
      <c r="BB152" s="118">
        <v>79.42496048000001</v>
      </c>
      <c r="BC152" s="118">
        <v>73.71682362</v>
      </c>
      <c r="BE152" s="118">
        <f t="shared" si="157"/>
        <v>0</v>
      </c>
      <c r="BF152" s="118">
        <f t="shared" si="158"/>
        <v>-2.4834999999999994</v>
      </c>
      <c r="BG152" s="118">
        <f t="shared" si="159"/>
        <v>23.449706459999987</v>
      </c>
      <c r="BH152" s="118">
        <f t="shared" si="160"/>
        <v>21.153005770000007</v>
      </c>
      <c r="BI152" s="122">
        <f t="shared" si="161"/>
        <v>42.119212229999995</v>
      </c>
      <c r="BJ152" s="118">
        <f t="shared" si="251"/>
        <v>0</v>
      </c>
      <c r="BK152" s="44">
        <v>2024</v>
      </c>
      <c r="BL152" s="8" t="b">
        <f t="shared" si="252"/>
        <v>1</v>
      </c>
      <c r="BM152" s="128">
        <f t="shared" si="240"/>
        <v>325.19669633000001</v>
      </c>
      <c r="BN152" s="129">
        <f t="shared" si="220"/>
        <v>0</v>
      </c>
      <c r="BR152" s="73">
        <f>K152/$BR$15</f>
        <v>0</v>
      </c>
      <c r="BS152" s="73">
        <f>AC152/$BS$15</f>
        <v>0</v>
      </c>
      <c r="BT152" s="73">
        <f>AE152/$BT$15</f>
        <v>28.963332335905516</v>
      </c>
      <c r="BU152" s="73">
        <f>AG152/$BU$15</f>
        <v>46.533735574416191</v>
      </c>
      <c r="BV152" s="73">
        <f>AI152/$BV$15</f>
        <v>35.724722867566861</v>
      </c>
      <c r="BW152" s="73">
        <f>AK152/$BW$15</f>
        <v>82.708489126862489</v>
      </c>
      <c r="BX152" s="73">
        <f>AM152/$BX$15</f>
        <v>73.037217254666729</v>
      </c>
      <c r="BY152" s="73">
        <f>(Q152-K152-AC152-AE152-AG152-AI152-AK152-AM152)/$BY$15</f>
        <v>2.0952736281680505E-14</v>
      </c>
      <c r="BZ152" s="74">
        <f>SUM(BR152:BY152)*1.2</f>
        <v>320.36099659130133</v>
      </c>
      <c r="CB152" s="75">
        <f>((Q152-(K152+AC152+AE152+AG152+AI152+AK152+AM152))/$BY$15+K152/$BR$15+AC152/$BS$15+AE152/$BT$15+AG152/$BU$15+AI152/$BV$15+AK152/$BW$15+AM152/$BX$15)*1.2</f>
        <v>320.36099659130133</v>
      </c>
      <c r="CJ152" s="70">
        <f>Q152-R152-S152-T152-U152</f>
        <v>2.4868995751603507E-14</v>
      </c>
      <c r="CK152" s="166"/>
      <c r="CL152" s="163"/>
      <c r="CM152" s="68"/>
      <c r="CN152" s="20"/>
      <c r="CQ152" s="177">
        <f t="shared" si="263"/>
        <v>253.20265746340368</v>
      </c>
      <c r="CR152" s="177">
        <f t="shared" si="264"/>
        <v>31.579357369999968</v>
      </c>
    </row>
    <row r="153" spans="1:96" ht="54.75" customHeight="1" x14ac:dyDescent="0.3">
      <c r="B153" s="51" t="s">
        <v>89</v>
      </c>
      <c r="C153" s="76" t="s">
        <v>379</v>
      </c>
      <c r="D153" s="20" t="s">
        <v>269</v>
      </c>
      <c r="E153" s="21" t="s">
        <v>488</v>
      </c>
      <c r="F153" s="21">
        <f t="shared" si="242"/>
        <v>2020</v>
      </c>
      <c r="G153" s="46" t="str">
        <f t="shared" si="243"/>
        <v>Ошибка в +</v>
      </c>
      <c r="H153" s="46">
        <f t="shared" si="244"/>
        <v>2024</v>
      </c>
      <c r="I153" s="22" t="s">
        <v>131</v>
      </c>
      <c r="J153" s="20" t="s">
        <v>131</v>
      </c>
      <c r="K153" s="20">
        <v>0</v>
      </c>
      <c r="L153" s="20">
        <f t="shared" si="176"/>
        <v>606.28390000000002</v>
      </c>
      <c r="M153" s="20">
        <v>54.564999999999998</v>
      </c>
      <c r="N153" s="20">
        <v>133.3826</v>
      </c>
      <c r="O153" s="20">
        <v>394.08499999999998</v>
      </c>
      <c r="P153" s="20">
        <v>24.251300000000001</v>
      </c>
      <c r="Q153" s="20">
        <v>541.85787413999992</v>
      </c>
      <c r="R153" s="20">
        <f t="shared" si="245"/>
        <v>48.766716223949039</v>
      </c>
      <c r="S153" s="20">
        <f t="shared" si="246"/>
        <v>119.2088592213416</v>
      </c>
      <c r="T153" s="20">
        <f t="shared" si="247"/>
        <v>352.20803377833693</v>
      </c>
      <c r="U153" s="20">
        <f t="shared" si="248"/>
        <v>21.674264916372316</v>
      </c>
      <c r="V153" s="20">
        <v>0</v>
      </c>
      <c r="W153" s="20">
        <f t="shared" si="236"/>
        <v>606.28390000000002</v>
      </c>
      <c r="X153" s="20"/>
      <c r="Y153" s="20">
        <f t="shared" si="249"/>
        <v>200.87480000000005</v>
      </c>
      <c r="Z153" s="28"/>
      <c r="AA153" s="20">
        <f t="shared" si="250"/>
        <v>220.98967413999992</v>
      </c>
      <c r="AB153" s="20">
        <v>0</v>
      </c>
      <c r="AC153" s="20">
        <v>0</v>
      </c>
      <c r="AD153" s="174">
        <v>237.7</v>
      </c>
      <c r="AE153" s="20">
        <v>154.47449999999998</v>
      </c>
      <c r="AF153" s="20">
        <f>167.71-0.0009</f>
        <v>167.70910000000001</v>
      </c>
      <c r="AG153" s="20">
        <v>166.3937</v>
      </c>
      <c r="AH153" s="20">
        <v>137.9034</v>
      </c>
      <c r="AI153" s="20">
        <v>52.0702</v>
      </c>
      <c r="AJ153" s="20">
        <v>78.685400000000001</v>
      </c>
      <c r="AK153" s="20">
        <v>82.611142139999998</v>
      </c>
      <c r="AL153" s="20">
        <v>67.511499999999998</v>
      </c>
      <c r="AM153" s="20">
        <v>86.308331999999993</v>
      </c>
      <c r="AN153" s="20">
        <f t="shared" si="234"/>
        <v>689.50939999999991</v>
      </c>
      <c r="AO153" s="20">
        <f t="shared" si="234"/>
        <v>541.85787413999992</v>
      </c>
      <c r="AP153" s="94" t="s">
        <v>502</v>
      </c>
      <c r="AQ153" s="130"/>
      <c r="AR153" s="112">
        <f t="shared" si="163"/>
        <v>-83.225499999999897</v>
      </c>
      <c r="AS153" s="85">
        <f t="shared" si="164"/>
        <v>0</v>
      </c>
      <c r="AT153" s="113">
        <f t="shared" si="166"/>
        <v>-64.426025860000095</v>
      </c>
      <c r="AV153" s="105">
        <f t="shared" si="165"/>
        <v>0</v>
      </c>
      <c r="AX153" s="31">
        <v>774.04305529479529</v>
      </c>
      <c r="AY153" s="116"/>
      <c r="AZ153" s="118">
        <v>166.3937</v>
      </c>
      <c r="BA153" s="118">
        <v>53.03</v>
      </c>
      <c r="BB153" s="118">
        <v>62.53167546000001</v>
      </c>
      <c r="BC153" s="118">
        <v>65.983788419999996</v>
      </c>
      <c r="BD153" s="8"/>
      <c r="BE153" s="118">
        <f t="shared" si="157"/>
        <v>0</v>
      </c>
      <c r="BF153" s="118">
        <f t="shared" si="158"/>
        <v>-0.95980000000000132</v>
      </c>
      <c r="BG153" s="118">
        <f t="shared" si="159"/>
        <v>20.079466679999989</v>
      </c>
      <c r="BH153" s="118">
        <f t="shared" si="160"/>
        <v>20.324543579999997</v>
      </c>
      <c r="BI153" s="122">
        <f t="shared" si="161"/>
        <v>39.444210259999984</v>
      </c>
      <c r="BJ153" s="118">
        <f t="shared" si="251"/>
        <v>0</v>
      </c>
      <c r="BK153" s="108">
        <v>2024</v>
      </c>
      <c r="BL153" s="8" t="b">
        <f t="shared" si="252"/>
        <v>1</v>
      </c>
      <c r="BM153" s="128">
        <f t="shared" si="240"/>
        <v>541.85787413999992</v>
      </c>
      <c r="BN153" s="129">
        <f t="shared" si="220"/>
        <v>0</v>
      </c>
      <c r="BR153" s="73">
        <f t="shared" si="253"/>
        <v>0</v>
      </c>
      <c r="BS153" s="73">
        <f t="shared" si="254"/>
        <v>0</v>
      </c>
      <c r="BT153" s="73">
        <f t="shared" si="255"/>
        <v>140.97769364078988</v>
      </c>
      <c r="BU153" s="73">
        <f t="shared" si="256"/>
        <v>145.68190551272795</v>
      </c>
      <c r="BV153" s="73">
        <f t="shared" si="257"/>
        <v>43.700878969583592</v>
      </c>
      <c r="BW153" s="73">
        <f t="shared" si="258"/>
        <v>66.417155502713911</v>
      </c>
      <c r="BX153" s="73">
        <f t="shared" si="259"/>
        <v>66.445996959243658</v>
      </c>
      <c r="BY153" s="73">
        <f t="shared" si="260"/>
        <v>-3.1429104422520756E-14</v>
      </c>
      <c r="BZ153" s="74">
        <f t="shared" si="261"/>
        <v>555.86835670207063</v>
      </c>
      <c r="CB153" s="75">
        <f t="shared" si="262"/>
        <v>555.86835670207074</v>
      </c>
      <c r="CE153" s="8"/>
      <c r="CJ153" s="70">
        <f t="shared" si="162"/>
        <v>3.5527136788005009E-14</v>
      </c>
      <c r="CL153" s="163"/>
      <c r="CM153" s="68"/>
      <c r="CN153" s="20">
        <v>237.66</v>
      </c>
      <c r="CQ153" s="177">
        <f t="shared" si="263"/>
        <v>604.96849999999995</v>
      </c>
      <c r="CR153" s="177">
        <f t="shared" si="264"/>
        <v>-84.540899999999965</v>
      </c>
    </row>
    <row r="154" spans="1:96" ht="49.5" x14ac:dyDescent="0.3">
      <c r="B154" s="51" t="s">
        <v>89</v>
      </c>
      <c r="C154" s="76" t="s">
        <v>381</v>
      </c>
      <c r="D154" s="20" t="s">
        <v>270</v>
      </c>
      <c r="E154" s="21" t="s">
        <v>488</v>
      </c>
      <c r="F154" s="21">
        <f t="shared" si="242"/>
        <v>2020</v>
      </c>
      <c r="G154" s="46">
        <f t="shared" si="243"/>
        <v>2025</v>
      </c>
      <c r="H154" s="46">
        <f t="shared" si="244"/>
        <v>2024</v>
      </c>
      <c r="I154" s="22" t="s">
        <v>131</v>
      </c>
      <c r="J154" s="20" t="s">
        <v>131</v>
      </c>
      <c r="K154" s="20">
        <v>0</v>
      </c>
      <c r="L154" s="20">
        <f t="shared" si="176"/>
        <v>888.48900756748071</v>
      </c>
      <c r="M154" s="20">
        <v>79.96272932974999</v>
      </c>
      <c r="N154" s="20">
        <v>195.47014436749237</v>
      </c>
      <c r="O154" s="20">
        <v>577.51785491886244</v>
      </c>
      <c r="P154" s="20">
        <v>35.53827895137595</v>
      </c>
      <c r="Q154" s="20">
        <v>788.47969287000001</v>
      </c>
      <c r="R154" s="20">
        <f>M154/L154*Q154</f>
        <v>70.962035237312321</v>
      </c>
      <c r="S154" s="20">
        <f>N154/L154*Q154</f>
        <v>173.46780667337543</v>
      </c>
      <c r="T154" s="20">
        <f>O154/L154*Q154</f>
        <v>512.51180036549999</v>
      </c>
      <c r="U154" s="20">
        <f>P154/L154*Q154</f>
        <v>31.538050593812311</v>
      </c>
      <c r="V154" s="20">
        <v>0</v>
      </c>
      <c r="W154" s="20">
        <f t="shared" si="236"/>
        <v>888.48900756748071</v>
      </c>
      <c r="X154" s="20"/>
      <c r="Y154" s="20">
        <f t="shared" si="249"/>
        <v>777.04965662748077</v>
      </c>
      <c r="Z154" s="28"/>
      <c r="AA154" s="20">
        <f t="shared" si="250"/>
        <v>600.30589286999998</v>
      </c>
      <c r="AB154" s="20">
        <v>0</v>
      </c>
      <c r="AC154" s="20">
        <v>0</v>
      </c>
      <c r="AD154" s="20">
        <v>0</v>
      </c>
      <c r="AE154" s="20">
        <v>75.462500000000006</v>
      </c>
      <c r="AF154" s="20">
        <v>111.43935094</v>
      </c>
      <c r="AG154" s="20">
        <v>112.71129999999998</v>
      </c>
      <c r="AH154" s="20">
        <v>352.12806999999998</v>
      </c>
      <c r="AI154" s="20">
        <v>183.6207</v>
      </c>
      <c r="AJ154" s="20">
        <v>165.06766347365513</v>
      </c>
      <c r="AK154" s="20">
        <v>250.18359780000003</v>
      </c>
      <c r="AL154" s="20">
        <v>184.39142230402712</v>
      </c>
      <c r="AM154" s="20">
        <v>166.50159506999998</v>
      </c>
      <c r="AN154" s="20">
        <f t="shared" si="234"/>
        <v>813.0265067176822</v>
      </c>
      <c r="AO154" s="20">
        <f t="shared" si="234"/>
        <v>788.47969287000001</v>
      </c>
      <c r="AP154" s="94" t="s">
        <v>502</v>
      </c>
      <c r="AQ154" s="130"/>
      <c r="AR154" s="85">
        <f t="shared" si="163"/>
        <v>75.462500849798516</v>
      </c>
      <c r="AS154" s="85">
        <f t="shared" si="164"/>
        <v>0</v>
      </c>
      <c r="AT154" s="113">
        <f t="shared" si="166"/>
        <v>-100.0093146974807</v>
      </c>
      <c r="AV154" s="105">
        <f t="shared" si="165"/>
        <v>0</v>
      </c>
      <c r="AX154" s="31">
        <v>1704.3004302411728</v>
      </c>
      <c r="AY154" s="116"/>
      <c r="AZ154" s="118">
        <v>112.71129999999998</v>
      </c>
      <c r="BA154" s="118">
        <v>168.89</v>
      </c>
      <c r="BB154" s="118">
        <v>189.28312113999999</v>
      </c>
      <c r="BC154" s="118">
        <v>129.57490965783069</v>
      </c>
      <c r="BD154" s="8"/>
      <c r="BE154" s="118">
        <f t="shared" ref="BE154:BE217" si="265">AG154-AZ154</f>
        <v>0</v>
      </c>
      <c r="BF154" s="118">
        <f t="shared" ref="BF154:BF217" si="266">AI154-BA154</f>
        <v>14.730700000000013</v>
      </c>
      <c r="BG154" s="118">
        <f t="shared" ref="BG154:BG217" si="267">AK154-BB154</f>
        <v>60.900476660000038</v>
      </c>
      <c r="BH154" s="118">
        <f t="shared" ref="BH154:BH217" si="268">AM154-BC154</f>
        <v>36.926685412169292</v>
      </c>
      <c r="BI154" s="122">
        <f t="shared" ref="BI154:BI217" si="269">BE154+BF154+BG154+BH154</f>
        <v>112.55786207216934</v>
      </c>
      <c r="BJ154" s="118">
        <f t="shared" si="251"/>
        <v>0</v>
      </c>
      <c r="BK154" s="108">
        <v>2024</v>
      </c>
      <c r="BL154" s="8" t="b">
        <f t="shared" si="252"/>
        <v>1</v>
      </c>
      <c r="BM154" s="128">
        <f t="shared" si="240"/>
        <v>788.47969287000001</v>
      </c>
      <c r="BN154" s="129">
        <f t="shared" si="220"/>
        <v>0</v>
      </c>
      <c r="BR154" s="73">
        <f t="shared" si="253"/>
        <v>0</v>
      </c>
      <c r="BS154" s="73">
        <f t="shared" si="254"/>
        <v>0</v>
      </c>
      <c r="BT154" s="73">
        <f t="shared" si="255"/>
        <v>68.869160970698132</v>
      </c>
      <c r="BU154" s="73">
        <f t="shared" si="256"/>
        <v>98.681602469424817</v>
      </c>
      <c r="BV154" s="73">
        <f t="shared" si="257"/>
        <v>154.10707058951604</v>
      </c>
      <c r="BW154" s="73">
        <f t="shared" si="258"/>
        <v>201.14094163171481</v>
      </c>
      <c r="BX154" s="73">
        <f t="shared" si="259"/>
        <v>128.18419987227233</v>
      </c>
      <c r="BY154" s="73">
        <f t="shared" si="260"/>
        <v>6.2858208845041513E-14</v>
      </c>
      <c r="BZ154" s="74">
        <f t="shared" si="261"/>
        <v>781.17957064035147</v>
      </c>
      <c r="CB154" s="75">
        <f t="shared" si="262"/>
        <v>781.17957064035136</v>
      </c>
      <c r="CE154" s="8"/>
      <c r="CJ154" s="70">
        <f t="shared" si="162"/>
        <v>-3.907985046680551E-14</v>
      </c>
      <c r="CL154" s="163"/>
      <c r="CM154" s="68"/>
      <c r="CN154" s="20"/>
      <c r="CQ154" s="177">
        <f t="shared" si="263"/>
        <v>889.76095577768228</v>
      </c>
      <c r="CR154" s="177">
        <f t="shared" si="264"/>
        <v>76.734449060000088</v>
      </c>
    </row>
    <row r="155" spans="1:96" ht="49.5" x14ac:dyDescent="0.3">
      <c r="B155" s="51" t="s">
        <v>89</v>
      </c>
      <c r="C155" s="76" t="s">
        <v>382</v>
      </c>
      <c r="D155" s="20" t="s">
        <v>271</v>
      </c>
      <c r="E155" s="21" t="s">
        <v>488</v>
      </c>
      <c r="F155" s="21">
        <f t="shared" si="242"/>
        <v>2020</v>
      </c>
      <c r="G155" s="46">
        <f t="shared" si="243"/>
        <v>2025</v>
      </c>
      <c r="H155" s="46">
        <f t="shared" si="244"/>
        <v>2024</v>
      </c>
      <c r="I155" s="22" t="s">
        <v>131</v>
      </c>
      <c r="J155" s="20" t="s">
        <v>131</v>
      </c>
      <c r="K155" s="20">
        <v>0</v>
      </c>
      <c r="L155" s="20">
        <f t="shared" si="176"/>
        <v>638.0241894430942</v>
      </c>
      <c r="M155" s="20">
        <v>57.42173851514108</v>
      </c>
      <c r="N155" s="20">
        <v>140.36619874695555</v>
      </c>
      <c r="O155" s="20">
        <v>414.71572313801124</v>
      </c>
      <c r="P155" s="20">
        <v>25.520529042986372</v>
      </c>
      <c r="Q155" s="20">
        <v>541.05019275999996</v>
      </c>
      <c r="R155" s="20">
        <f>M155/L155*Q155</f>
        <v>48.694145467038553</v>
      </c>
      <c r="S155" s="20">
        <f>N155/L155*Q155</f>
        <v>119.03178616992288</v>
      </c>
      <c r="T155" s="20">
        <f>O155/L155*Q155</f>
        <v>351.68262529399999</v>
      </c>
      <c r="U155" s="20">
        <f>P155/L155*Q155</f>
        <v>21.64163582903856</v>
      </c>
      <c r="V155" s="20">
        <v>0</v>
      </c>
      <c r="W155" s="20">
        <f t="shared" si="236"/>
        <v>638.0241894430942</v>
      </c>
      <c r="X155" s="20"/>
      <c r="Y155" s="20">
        <f t="shared" si="249"/>
        <v>486.00609844309417</v>
      </c>
      <c r="Z155" s="28"/>
      <c r="AA155" s="20">
        <f t="shared" si="250"/>
        <v>316.66449275999992</v>
      </c>
      <c r="AB155" s="20">
        <v>0</v>
      </c>
      <c r="AC155" s="20">
        <v>0</v>
      </c>
      <c r="AD155" s="20">
        <v>0</v>
      </c>
      <c r="AE155" s="20">
        <v>71.939800000000005</v>
      </c>
      <c r="AF155" s="20">
        <v>152.01809100000003</v>
      </c>
      <c r="AG155" s="20">
        <v>152.44590000000002</v>
      </c>
      <c r="AH155" s="20">
        <v>221.97782787279331</v>
      </c>
      <c r="AI155" s="20">
        <v>95.708499999999987</v>
      </c>
      <c r="AJ155" s="20">
        <v>112.0721247981821</v>
      </c>
      <c r="AK155" s="20">
        <v>122.03734009999998</v>
      </c>
      <c r="AL155" s="20">
        <v>80.016345772118868</v>
      </c>
      <c r="AM155" s="20">
        <v>98.918652659999978</v>
      </c>
      <c r="AN155" s="20">
        <f t="shared" si="234"/>
        <v>566.08438944309432</v>
      </c>
      <c r="AO155" s="20">
        <f t="shared" si="234"/>
        <v>541.05019275999996</v>
      </c>
      <c r="AP155" s="94" t="s">
        <v>459</v>
      </c>
      <c r="AQ155" s="130"/>
      <c r="AR155" s="85">
        <f t="shared" si="163"/>
        <v>71.939799999999877</v>
      </c>
      <c r="AS155" s="85">
        <f t="shared" si="164"/>
        <v>0</v>
      </c>
      <c r="AT155" s="113">
        <f t="shared" si="166"/>
        <v>-96.973996683094242</v>
      </c>
      <c r="AV155" s="105">
        <f t="shared" si="165"/>
        <v>0</v>
      </c>
      <c r="AX155" s="31">
        <v>1228.4497340883831</v>
      </c>
      <c r="AY155" s="116"/>
      <c r="AZ155" s="118">
        <v>152.44590000000002</v>
      </c>
      <c r="BA155" s="118">
        <v>98.83</v>
      </c>
      <c r="BB155" s="118">
        <v>93.650842310000002</v>
      </c>
      <c r="BC155" s="118">
        <v>75.87851040000001</v>
      </c>
      <c r="BD155" s="8"/>
      <c r="BE155" s="118">
        <f t="shared" si="265"/>
        <v>0</v>
      </c>
      <c r="BF155" s="118">
        <f t="shared" si="266"/>
        <v>-3.1215000000000117</v>
      </c>
      <c r="BG155" s="118">
        <f t="shared" si="267"/>
        <v>28.386497789999979</v>
      </c>
      <c r="BH155" s="118">
        <f t="shared" si="268"/>
        <v>23.040142259999968</v>
      </c>
      <c r="BI155" s="122">
        <f t="shared" si="269"/>
        <v>48.305140049999935</v>
      </c>
      <c r="BJ155" s="118">
        <f t="shared" si="251"/>
        <v>0</v>
      </c>
      <c r="BK155" s="108">
        <v>2024</v>
      </c>
      <c r="BL155" s="8" t="b">
        <f t="shared" si="252"/>
        <v>1</v>
      </c>
      <c r="BM155" s="128">
        <f t="shared" si="240"/>
        <v>541.05019275999996</v>
      </c>
      <c r="BN155" s="129">
        <f t="shared" si="220"/>
        <v>0</v>
      </c>
      <c r="BR155" s="73">
        <f t="shared" si="253"/>
        <v>0</v>
      </c>
      <c r="BS155" s="73">
        <f t="shared" si="254"/>
        <v>0</v>
      </c>
      <c r="BT155" s="73">
        <f t="shared" si="255"/>
        <v>65.654247691235113</v>
      </c>
      <c r="BU155" s="73">
        <f t="shared" si="256"/>
        <v>133.47025277761585</v>
      </c>
      <c r="BV155" s="73">
        <f t="shared" si="257"/>
        <v>80.32512982205543</v>
      </c>
      <c r="BW155" s="73">
        <f t="shared" si="258"/>
        <v>98.11476738601695</v>
      </c>
      <c r="BX155" s="73">
        <f t="shared" si="259"/>
        <v>76.154275509099605</v>
      </c>
      <c r="BY155" s="73">
        <f t="shared" si="260"/>
        <v>-2.0952736281680505E-14</v>
      </c>
      <c r="BZ155" s="74">
        <f t="shared" si="261"/>
        <v>544.46240782322752</v>
      </c>
      <c r="CB155" s="75">
        <f t="shared" si="262"/>
        <v>544.46240782322752</v>
      </c>
      <c r="CE155" s="8"/>
      <c r="CJ155" s="70">
        <f t="shared" ref="CJ155:CJ218" si="270">Q155-R155-S155-T155-U155</f>
        <v>0</v>
      </c>
      <c r="CL155" s="163"/>
      <c r="CM155" s="68"/>
      <c r="CN155" s="20"/>
      <c r="CQ155" s="177">
        <f t="shared" si="263"/>
        <v>638.45199844309434</v>
      </c>
      <c r="CR155" s="177">
        <f t="shared" si="264"/>
        <v>72.367609000000016</v>
      </c>
    </row>
    <row r="156" spans="1:96" ht="37.5" x14ac:dyDescent="0.3">
      <c r="B156" s="56" t="s">
        <v>91</v>
      </c>
      <c r="C156" s="57" t="s">
        <v>92</v>
      </c>
      <c r="D156" s="32" t="s">
        <v>129</v>
      </c>
      <c r="E156" s="32"/>
      <c r="F156" s="32"/>
      <c r="G156" s="33"/>
      <c r="H156" s="33"/>
      <c r="I156" s="34" t="s">
        <v>131</v>
      </c>
      <c r="J156" s="32">
        <f>SUM(J157:J157)</f>
        <v>0.62457019068812336</v>
      </c>
      <c r="K156" s="32">
        <f>SUM(K157:K157)</f>
        <v>0</v>
      </c>
      <c r="L156" s="32">
        <f t="shared" si="176"/>
        <v>0.62457019068812336</v>
      </c>
      <c r="M156" s="32">
        <f t="shared" ref="M156:AM156" si="271">SUM(M157:M157)</f>
        <v>5.6083853857709032E-2</v>
      </c>
      <c r="N156" s="32">
        <f t="shared" si="271"/>
        <v>0.13766036855983127</v>
      </c>
      <c r="O156" s="32">
        <f t="shared" si="271"/>
        <v>0.40660794046839055</v>
      </c>
      <c r="P156" s="32">
        <f t="shared" si="271"/>
        <v>2.4218027802192538E-2</v>
      </c>
      <c r="Q156" s="32">
        <f t="shared" si="271"/>
        <v>0.62457019068812336</v>
      </c>
      <c r="R156" s="32">
        <f t="shared" si="271"/>
        <v>5.6083853857709032E-2</v>
      </c>
      <c r="S156" s="32">
        <f t="shared" si="271"/>
        <v>0.13766036855983127</v>
      </c>
      <c r="T156" s="32">
        <f t="shared" si="271"/>
        <v>0.40660794046839055</v>
      </c>
      <c r="U156" s="32">
        <f t="shared" si="271"/>
        <v>2.4218027802192538E-2</v>
      </c>
      <c r="V156" s="32">
        <f t="shared" si="271"/>
        <v>0</v>
      </c>
      <c r="W156" s="32">
        <f t="shared" si="271"/>
        <v>0.62457019068812336</v>
      </c>
      <c r="X156" s="32">
        <f t="shared" si="271"/>
        <v>0</v>
      </c>
      <c r="Y156" s="32">
        <f t="shared" si="271"/>
        <v>0.12457019068812336</v>
      </c>
      <c r="Z156" s="32">
        <f t="shared" si="271"/>
        <v>0</v>
      </c>
      <c r="AA156" s="32">
        <f t="shared" si="271"/>
        <v>0</v>
      </c>
      <c r="AB156" s="32">
        <f t="shared" si="271"/>
        <v>0</v>
      </c>
      <c r="AC156" s="32">
        <f t="shared" si="271"/>
        <v>0</v>
      </c>
      <c r="AD156" s="32">
        <f t="shared" si="271"/>
        <v>0.5</v>
      </c>
      <c r="AE156" s="32">
        <f t="shared" si="271"/>
        <v>0.62457019068812336</v>
      </c>
      <c r="AF156" s="32">
        <f t="shared" si="271"/>
        <v>0</v>
      </c>
      <c r="AG156" s="32">
        <f t="shared" si="271"/>
        <v>0</v>
      </c>
      <c r="AH156" s="32">
        <f t="shared" si="271"/>
        <v>0</v>
      </c>
      <c r="AI156" s="32">
        <f t="shared" si="271"/>
        <v>0</v>
      </c>
      <c r="AJ156" s="32">
        <f t="shared" si="271"/>
        <v>0</v>
      </c>
      <c r="AK156" s="32">
        <f t="shared" si="271"/>
        <v>0</v>
      </c>
      <c r="AL156" s="32">
        <f t="shared" si="271"/>
        <v>0</v>
      </c>
      <c r="AM156" s="32">
        <f t="shared" si="271"/>
        <v>0</v>
      </c>
      <c r="AN156" s="32">
        <f t="shared" si="234"/>
        <v>0.5</v>
      </c>
      <c r="AO156" s="32">
        <f t="shared" si="234"/>
        <v>0.62457019068812336</v>
      </c>
      <c r="AP156" s="99" t="s">
        <v>131</v>
      </c>
      <c r="AQ156" s="86"/>
      <c r="AR156" s="85">
        <f t="shared" ref="AR156:AR219" si="272">L156-(K156+AB156+AD156+AF156+AH156+AJ156+AL156)</f>
        <v>0.12457019068812336</v>
      </c>
      <c r="AS156" s="85">
        <f t="shared" ref="AS156:AS219" si="273">Q156-(K156+AC156+AE156+AG156+AI156+AK156+AM156)</f>
        <v>0</v>
      </c>
      <c r="AT156" s="113"/>
      <c r="AV156" s="105">
        <f t="shared" si="165"/>
        <v>0</v>
      </c>
      <c r="AX156" s="31"/>
      <c r="AY156" s="15"/>
      <c r="AZ156" s="118">
        <v>0</v>
      </c>
      <c r="BA156" s="118">
        <v>0</v>
      </c>
      <c r="BB156" s="118">
        <v>0</v>
      </c>
      <c r="BC156" s="118">
        <v>0</v>
      </c>
      <c r="BD156" s="8"/>
      <c r="BE156" s="118">
        <f t="shared" si="265"/>
        <v>0</v>
      </c>
      <c r="BF156" s="118">
        <f t="shared" si="266"/>
        <v>0</v>
      </c>
      <c r="BG156" s="118">
        <f t="shared" si="267"/>
        <v>0</v>
      </c>
      <c r="BH156" s="118">
        <f t="shared" si="268"/>
        <v>0</v>
      </c>
      <c r="BI156" s="122">
        <f t="shared" si="269"/>
        <v>0</v>
      </c>
      <c r="BJ156" s="123"/>
      <c r="BK156" s="108"/>
      <c r="BM156" s="128">
        <f t="shared" si="240"/>
        <v>0.62457019068812336</v>
      </c>
      <c r="BN156" s="129">
        <f t="shared" si="220"/>
        <v>0</v>
      </c>
      <c r="CB156" s="75">
        <f t="shared" si="262"/>
        <v>0.68399999999999994</v>
      </c>
      <c r="CJ156" s="70">
        <f t="shared" si="270"/>
        <v>-8.3266726846886741E-17</v>
      </c>
      <c r="CL156" s="163"/>
      <c r="CM156" s="68"/>
      <c r="CN156" s="32">
        <f t="shared" ref="CN156" si="274">SUM(CN157:CN157)</f>
        <v>0.49</v>
      </c>
      <c r="CQ156" s="177">
        <f t="shared" si="263"/>
        <v>0.62457019068812336</v>
      </c>
      <c r="CR156" s="177">
        <f t="shared" si="264"/>
        <v>0.12457019068812336</v>
      </c>
    </row>
    <row r="157" spans="1:96" ht="56.25" x14ac:dyDescent="0.3">
      <c r="B157" s="51" t="s">
        <v>91</v>
      </c>
      <c r="C157" s="79" t="s">
        <v>383</v>
      </c>
      <c r="D157" s="20" t="s">
        <v>272</v>
      </c>
      <c r="E157" s="21" t="s">
        <v>487</v>
      </c>
      <c r="F157" s="21">
        <f t="shared" ref="F157" si="275">IF(K157&gt;0,2018,IF(AC157&gt;0,2019,IF(AE157&gt;0,2020,IF(AG157&gt;0,2021,IF(AI157&gt;0,2022,IF(AK157&gt;0,2023,IF(AM157&gt;0,2024,"нд")))))))</f>
        <v>2020</v>
      </c>
      <c r="G157" s="46">
        <f t="shared" ref="G157" si="276">IF(AND(L157-(K157+AB157+AD157+AF157+AH157+AJ157+AL157)&lt;0.1,L157-(K157+AB157+AD157+AF157+AH157+AJ157+AL157)&gt;0.00001),"Ошибка в -",IF((K157+AB157+AD157+AF157+AH157+AJ157+AL157)&gt;L157,"Ошибка в +",IF(L157&gt;(K157+AB157+AD157+AF157+AH157+AJ157+AL157),2025,IF(AL157&gt;0,2024,IF(AJ157&gt;0,2023,IF(AH157&gt;0,2022,IF(AF157&gt;0,2021,IF(AD157&gt;0,2020,IF(AB157&gt;0,2019,IF(K157&gt;0,2018,"нд"))))))))))</f>
        <v>2025</v>
      </c>
      <c r="H157" s="46">
        <f t="shared" ref="H157" si="277">IF(AND((Q157-(K157+AC157+AE157+AG157+AI157+AK157+AM157))&lt;0.1,Q157-(K157+AC157+AE157+AG157+AI157+AK157+AM157)&gt;0.0001),"Ошибка в -",IF((K157+AC157+AE157+AG157+AI157+AK157+AM157)&gt;Q157,"Ошибка в +",IF(Q157&gt;(K157+AC157+AE157+AG157+AI157+AK157+AM157),2025,IF(AM157&gt;0,2024,IF(AK157&gt;0,2023,IF(AI157&gt;0,2022,IF(AG157&gt;0,2021,IF(AE157&gt;0,2020,IF(AC157&gt;0,2019,IF(K157&gt;0,2018,"нд"))))))))))</f>
        <v>2020</v>
      </c>
      <c r="I157" s="22" t="s">
        <v>131</v>
      </c>
      <c r="J157" s="20">
        <f>Q157</f>
        <v>0.62457019068812336</v>
      </c>
      <c r="K157" s="20">
        <v>0</v>
      </c>
      <c r="L157" s="20">
        <f t="shared" si="176"/>
        <v>0.62457019068812336</v>
      </c>
      <c r="M157" s="20">
        <v>5.6083853857709032E-2</v>
      </c>
      <c r="N157" s="20">
        <v>0.13766036855983127</v>
      </c>
      <c r="O157" s="20">
        <v>0.40660794046839055</v>
      </c>
      <c r="P157" s="20">
        <v>2.4218027802192538E-2</v>
      </c>
      <c r="Q157" s="20">
        <v>0.62457019068812336</v>
      </c>
      <c r="R157" s="20">
        <f>M157/L157*Q157</f>
        <v>5.6083853857709032E-2</v>
      </c>
      <c r="S157" s="20">
        <f>N157/L157*Q157</f>
        <v>0.13766036855983127</v>
      </c>
      <c r="T157" s="20">
        <f>O157/L157*Q157</f>
        <v>0.40660794046839055</v>
      </c>
      <c r="U157" s="20">
        <f>P157/L157*Q157</f>
        <v>2.4218027802192538E-2</v>
      </c>
      <c r="V157" s="20">
        <v>0</v>
      </c>
      <c r="W157" s="20">
        <f t="shared" ref="W157" si="278">L157-K157</f>
        <v>0.62457019068812336</v>
      </c>
      <c r="X157" s="20"/>
      <c r="Y157" s="20">
        <f t="shared" ref="Y157" si="279">W157-(AB157+AD157+AF157)</f>
        <v>0.12457019068812336</v>
      </c>
      <c r="Z157" s="28"/>
      <c r="AA157" s="20">
        <f t="shared" ref="AA157" si="280">Q157-(K157+AC157+AE157+AG157)</f>
        <v>0</v>
      </c>
      <c r="AB157" s="20">
        <v>0</v>
      </c>
      <c r="AC157" s="20">
        <v>0</v>
      </c>
      <c r="AD157" s="174">
        <v>0.5</v>
      </c>
      <c r="AE157" s="20">
        <v>0.62457019068812336</v>
      </c>
      <c r="AF157" s="20"/>
      <c r="AG157" s="20"/>
      <c r="AH157" s="20"/>
      <c r="AI157" s="20"/>
      <c r="AJ157" s="20"/>
      <c r="AK157" s="20"/>
      <c r="AL157" s="20"/>
      <c r="AM157" s="20"/>
      <c r="AN157" s="20">
        <f t="shared" si="234"/>
        <v>0.5</v>
      </c>
      <c r="AO157" s="20">
        <f t="shared" si="234"/>
        <v>0.62457019068812336</v>
      </c>
      <c r="AP157" s="94"/>
      <c r="AQ157" s="86"/>
      <c r="AR157" s="85">
        <f t="shared" si="272"/>
        <v>0.12457019068812336</v>
      </c>
      <c r="AS157" s="85">
        <f t="shared" si="273"/>
        <v>0</v>
      </c>
      <c r="AT157" s="113">
        <f t="shared" si="166"/>
        <v>0</v>
      </c>
      <c r="AV157" s="105">
        <f t="shared" si="165"/>
        <v>0</v>
      </c>
      <c r="AX157" s="31">
        <f>J157-Q157</f>
        <v>0</v>
      </c>
      <c r="AY157" s="15"/>
      <c r="AZ157" s="118"/>
      <c r="BA157" s="118"/>
      <c r="BB157" s="118"/>
      <c r="BC157" s="118"/>
      <c r="BD157" s="8"/>
      <c r="BE157" s="118">
        <f t="shared" si="265"/>
        <v>0</v>
      </c>
      <c r="BF157" s="118">
        <f t="shared" si="266"/>
        <v>0</v>
      </c>
      <c r="BG157" s="118">
        <f t="shared" si="267"/>
        <v>0</v>
      </c>
      <c r="BH157" s="118">
        <f t="shared" si="268"/>
        <v>0</v>
      </c>
      <c r="BI157" s="122">
        <f t="shared" si="269"/>
        <v>0</v>
      </c>
      <c r="BJ157" s="118">
        <f>(AO157+AC157+K157)-Q157</f>
        <v>0</v>
      </c>
      <c r="BK157" s="108">
        <v>2020</v>
      </c>
      <c r="BL157" s="8" t="b">
        <f>EXACT(BK157,H157)</f>
        <v>1</v>
      </c>
      <c r="BM157" s="128">
        <f t="shared" si="240"/>
        <v>0.62457019068812336</v>
      </c>
      <c r="BN157" s="129">
        <f t="shared" si="220"/>
        <v>0</v>
      </c>
      <c r="BR157" s="73">
        <f>K157/$BR$15</f>
        <v>0</v>
      </c>
      <c r="BS157" s="73">
        <f>AC157/$BS$15</f>
        <v>0</v>
      </c>
      <c r="BT157" s="73">
        <f>AE157/$BT$15</f>
        <v>0.56999999999999995</v>
      </c>
      <c r="BU157" s="73">
        <f>AG157/$BU$15</f>
        <v>0</v>
      </c>
      <c r="BV157" s="73">
        <f>AI157/$BV$15</f>
        <v>0</v>
      </c>
      <c r="BW157" s="73">
        <f>AK157/$BW$15</f>
        <v>0</v>
      </c>
      <c r="BX157" s="73">
        <f>AM157/$BX$15</f>
        <v>0</v>
      </c>
      <c r="BY157" s="73">
        <f>(Q157-K157-AC157-AE157-AG157-AI157-AK157-AM157)/$BY$15</f>
        <v>0</v>
      </c>
      <c r="BZ157" s="74">
        <f>SUM(BR157:BY157)*1.2</f>
        <v>0.68399999999999994</v>
      </c>
      <c r="CB157" s="75">
        <f t="shared" si="262"/>
        <v>0.68399999999999994</v>
      </c>
      <c r="CE157" s="8"/>
      <c r="CJ157" s="70">
        <f t="shared" si="270"/>
        <v>-8.3266726846886741E-17</v>
      </c>
      <c r="CL157" s="163"/>
      <c r="CM157" s="68"/>
      <c r="CN157" s="20">
        <v>0.49</v>
      </c>
      <c r="CQ157" s="177">
        <f t="shared" si="263"/>
        <v>0.62457019068812336</v>
      </c>
      <c r="CR157" s="177">
        <f t="shared" si="264"/>
        <v>0.12457019068812336</v>
      </c>
    </row>
    <row r="158" spans="1:96" ht="37.5" x14ac:dyDescent="0.3">
      <c r="B158" s="56" t="s">
        <v>93</v>
      </c>
      <c r="C158" s="57" t="s">
        <v>94</v>
      </c>
      <c r="D158" s="32" t="s">
        <v>129</v>
      </c>
      <c r="E158" s="32"/>
      <c r="F158" s="32"/>
      <c r="G158" s="33"/>
      <c r="H158" s="33"/>
      <c r="I158" s="34" t="s">
        <v>131</v>
      </c>
      <c r="J158" s="32">
        <f>SUM(J159:J159)</f>
        <v>3.5282737087995701</v>
      </c>
      <c r="K158" s="32">
        <f>SUM(K159:K159)</f>
        <v>0</v>
      </c>
      <c r="L158" s="32">
        <f t="shared" si="176"/>
        <v>3.5282737087995741</v>
      </c>
      <c r="M158" s="32">
        <f t="shared" ref="M158:AM158" si="281">SUM(M159:M159)</f>
        <v>0.31762537232076721</v>
      </c>
      <c r="N158" s="32">
        <f t="shared" si="281"/>
        <v>0.7762202159359064</v>
      </c>
      <c r="O158" s="32">
        <f t="shared" si="281"/>
        <v>2.2934586492485285</v>
      </c>
      <c r="P158" s="32">
        <f t="shared" si="281"/>
        <v>0.14096947129437201</v>
      </c>
      <c r="Q158" s="32">
        <f t="shared" si="281"/>
        <v>3.5282737087995701</v>
      </c>
      <c r="R158" s="32">
        <f t="shared" si="281"/>
        <v>0.31762537232076682</v>
      </c>
      <c r="S158" s="32">
        <f t="shared" si="281"/>
        <v>0.77622021593590551</v>
      </c>
      <c r="T158" s="32">
        <f t="shared" si="281"/>
        <v>2.2934586492485258</v>
      </c>
      <c r="U158" s="32">
        <f t="shared" si="281"/>
        <v>0.14096947129437187</v>
      </c>
      <c r="V158" s="32">
        <f t="shared" si="281"/>
        <v>0</v>
      </c>
      <c r="W158" s="32">
        <f t="shared" si="281"/>
        <v>3.5282737087995741</v>
      </c>
      <c r="X158" s="32">
        <f t="shared" si="281"/>
        <v>0</v>
      </c>
      <c r="Y158" s="32">
        <f t="shared" si="281"/>
        <v>-3.7717262912004257</v>
      </c>
      <c r="Z158" s="32">
        <f t="shared" si="281"/>
        <v>0</v>
      </c>
      <c r="AA158" s="32">
        <f t="shared" si="281"/>
        <v>0</v>
      </c>
      <c r="AB158" s="32">
        <f t="shared" si="281"/>
        <v>0</v>
      </c>
      <c r="AC158" s="32">
        <f t="shared" si="281"/>
        <v>0</v>
      </c>
      <c r="AD158" s="32">
        <f t="shared" si="281"/>
        <v>7.3</v>
      </c>
      <c r="AE158" s="32">
        <f t="shared" si="281"/>
        <v>3.5282737087995701</v>
      </c>
      <c r="AF158" s="32">
        <f t="shared" si="281"/>
        <v>0</v>
      </c>
      <c r="AG158" s="32">
        <f t="shared" si="281"/>
        <v>0</v>
      </c>
      <c r="AH158" s="32">
        <f t="shared" si="281"/>
        <v>0</v>
      </c>
      <c r="AI158" s="32">
        <f t="shared" si="281"/>
        <v>0</v>
      </c>
      <c r="AJ158" s="32">
        <f t="shared" si="281"/>
        <v>0</v>
      </c>
      <c r="AK158" s="32">
        <f t="shared" si="281"/>
        <v>0</v>
      </c>
      <c r="AL158" s="32">
        <f t="shared" si="281"/>
        <v>0</v>
      </c>
      <c r="AM158" s="32">
        <f t="shared" si="281"/>
        <v>0</v>
      </c>
      <c r="AN158" s="32">
        <f t="shared" si="234"/>
        <v>7.3</v>
      </c>
      <c r="AO158" s="32">
        <f t="shared" si="234"/>
        <v>3.5282737087995701</v>
      </c>
      <c r="AP158" s="99" t="s">
        <v>131</v>
      </c>
      <c r="AQ158" s="86"/>
      <c r="AR158" s="85">
        <f t="shared" si="272"/>
        <v>-3.7717262912004257</v>
      </c>
      <c r="AS158" s="85">
        <f t="shared" si="273"/>
        <v>0</v>
      </c>
      <c r="AT158" s="113"/>
      <c r="AV158" s="105">
        <f t="shared" si="165"/>
        <v>0</v>
      </c>
      <c r="AX158" s="31"/>
      <c r="AY158" s="15"/>
      <c r="AZ158" s="118">
        <v>0</v>
      </c>
      <c r="BA158" s="118">
        <v>0</v>
      </c>
      <c r="BB158" s="118">
        <v>0</v>
      </c>
      <c r="BC158" s="118">
        <v>0</v>
      </c>
      <c r="BD158" s="8"/>
      <c r="BE158" s="118">
        <f t="shared" si="265"/>
        <v>0</v>
      </c>
      <c r="BF158" s="118">
        <f t="shared" si="266"/>
        <v>0</v>
      </c>
      <c r="BG158" s="118">
        <f t="shared" si="267"/>
        <v>0</v>
      </c>
      <c r="BH158" s="118">
        <f t="shared" si="268"/>
        <v>0</v>
      </c>
      <c r="BI158" s="122">
        <f t="shared" si="269"/>
        <v>0</v>
      </c>
      <c r="BJ158" s="123"/>
      <c r="BK158" s="108"/>
      <c r="BM158" s="128">
        <f t="shared" si="240"/>
        <v>3.5282737087995701</v>
      </c>
      <c r="BN158" s="129">
        <f t="shared" si="220"/>
        <v>0</v>
      </c>
      <c r="CB158" s="75">
        <f t="shared" si="262"/>
        <v>3.8639999999999954</v>
      </c>
      <c r="CJ158" s="70">
        <f t="shared" si="270"/>
        <v>2.2204460492503131E-16</v>
      </c>
      <c r="CL158" s="163"/>
      <c r="CM158" s="68"/>
      <c r="CN158" s="32">
        <f t="shared" ref="CN158" si="282">SUM(CN159:CN159)</f>
        <v>7.2899999999999991</v>
      </c>
      <c r="CQ158" s="177">
        <f t="shared" si="263"/>
        <v>3.5282737087995701</v>
      </c>
      <c r="CR158" s="177">
        <f t="shared" si="264"/>
        <v>-3.7717262912004297</v>
      </c>
    </row>
    <row r="159" spans="1:96" ht="37.5" x14ac:dyDescent="0.3">
      <c r="B159" s="51" t="s">
        <v>93</v>
      </c>
      <c r="C159" s="76" t="s">
        <v>183</v>
      </c>
      <c r="D159" s="20" t="s">
        <v>273</v>
      </c>
      <c r="E159" s="21" t="s">
        <v>487</v>
      </c>
      <c r="F159" s="21">
        <f t="shared" ref="F159" si="283">IF(K159&gt;0,2018,IF(AC159&gt;0,2019,IF(AE159&gt;0,2020,IF(AG159&gt;0,2021,IF(AI159&gt;0,2022,IF(AK159&gt;0,2023,IF(AM159&gt;0,2024,"нд")))))))</f>
        <v>2020</v>
      </c>
      <c r="G159" s="46" t="str">
        <f t="shared" ref="G159" si="284">IF(AND(L159-(K159+AB159+AD159+AF159+AH159+AJ159+AL159)&lt;0.1,L159-(K159+AB159+AD159+AF159+AH159+AJ159+AL159)&gt;0.00001),"Ошибка в -",IF((K159+AB159+AD159+AF159+AH159+AJ159+AL159)&gt;L159,"Ошибка в +",IF(L159&gt;(K159+AB159+AD159+AF159+AH159+AJ159+AL159),2025,IF(AL159&gt;0,2024,IF(AJ159&gt;0,2023,IF(AH159&gt;0,2022,IF(AF159&gt;0,2021,IF(AD159&gt;0,2020,IF(AB159&gt;0,2019,IF(K159&gt;0,2018,"нд"))))))))))</f>
        <v>Ошибка в +</v>
      </c>
      <c r="H159" s="46">
        <f t="shared" ref="H159" si="285">IF(AND((Q159-(K159+AC159+AE159+AG159+AI159+AK159+AM159))&lt;0.1,Q159-(K159+AC159+AE159+AG159+AI159+AK159+AM159)&gt;0.0001),"Ошибка в -",IF((K159+AC159+AE159+AG159+AI159+AK159+AM159)&gt;Q159,"Ошибка в +",IF(Q159&gt;(K159+AC159+AE159+AG159+AI159+AK159+AM159),2025,IF(AM159&gt;0,2024,IF(AK159&gt;0,2023,IF(AI159&gt;0,2022,IF(AG159&gt;0,2021,IF(AE159&gt;0,2020,IF(AC159&gt;0,2019,IF(K159&gt;0,2018,"нд"))))))))))</f>
        <v>2020</v>
      </c>
      <c r="I159" s="22" t="s">
        <v>131</v>
      </c>
      <c r="J159" s="20">
        <f>Q159</f>
        <v>3.5282737087995701</v>
      </c>
      <c r="K159" s="20">
        <v>0</v>
      </c>
      <c r="L159" s="20">
        <f t="shared" si="176"/>
        <v>3.5282737087995741</v>
      </c>
      <c r="M159" s="20">
        <v>0.31762537232076721</v>
      </c>
      <c r="N159" s="20">
        <v>0.7762202159359064</v>
      </c>
      <c r="O159" s="20">
        <v>2.2934586492485285</v>
      </c>
      <c r="P159" s="20">
        <v>0.14096947129437201</v>
      </c>
      <c r="Q159" s="20">
        <v>3.5282737087995701</v>
      </c>
      <c r="R159" s="20">
        <f>M159/L159*Q159</f>
        <v>0.31762537232076682</v>
      </c>
      <c r="S159" s="20">
        <f>N159/L159*Q159</f>
        <v>0.77622021593590551</v>
      </c>
      <c r="T159" s="20">
        <f>O159/L159*Q159</f>
        <v>2.2934586492485258</v>
      </c>
      <c r="U159" s="20">
        <f>P159/L159*Q159</f>
        <v>0.14096947129437187</v>
      </c>
      <c r="V159" s="20">
        <v>0</v>
      </c>
      <c r="W159" s="20">
        <f t="shared" ref="W159" si="286">L159-K159</f>
        <v>3.5282737087995741</v>
      </c>
      <c r="X159" s="20"/>
      <c r="Y159" s="20">
        <f t="shared" ref="Y159" si="287">W159-(AB159+AD159+AF159)</f>
        <v>-3.7717262912004257</v>
      </c>
      <c r="Z159" s="28"/>
      <c r="AA159" s="20">
        <f t="shared" ref="AA159" si="288">Q159-(K159+AC159+AE159+AG159)</f>
        <v>0</v>
      </c>
      <c r="AB159" s="20">
        <v>0</v>
      </c>
      <c r="AC159" s="20">
        <v>0</v>
      </c>
      <c r="AD159" s="174">
        <v>7.3</v>
      </c>
      <c r="AE159" s="20">
        <v>3.5282737087995701</v>
      </c>
      <c r="AF159" s="20"/>
      <c r="AG159" s="20"/>
      <c r="AH159" s="20"/>
      <c r="AI159" s="20"/>
      <c r="AJ159" s="20"/>
      <c r="AK159" s="20"/>
      <c r="AL159" s="20"/>
      <c r="AM159" s="20"/>
      <c r="AN159" s="20">
        <f t="shared" si="234"/>
        <v>7.3</v>
      </c>
      <c r="AO159" s="20">
        <f t="shared" si="234"/>
        <v>3.5282737087995701</v>
      </c>
      <c r="AP159" s="94"/>
      <c r="AQ159" s="86"/>
      <c r="AR159" s="85">
        <f t="shared" si="272"/>
        <v>-3.7717262912004257</v>
      </c>
      <c r="AS159" s="85">
        <f t="shared" si="273"/>
        <v>0</v>
      </c>
      <c r="AT159" s="113">
        <f t="shared" si="166"/>
        <v>-3.9968028886505635E-15</v>
      </c>
      <c r="AV159" s="105">
        <f t="shared" si="165"/>
        <v>0</v>
      </c>
      <c r="AX159" s="31">
        <f>J159-Q159</f>
        <v>0</v>
      </c>
      <c r="AY159" s="15"/>
      <c r="AZ159" s="118"/>
      <c r="BA159" s="118"/>
      <c r="BB159" s="118"/>
      <c r="BC159" s="118"/>
      <c r="BD159" s="8"/>
      <c r="BE159" s="118">
        <f t="shared" si="265"/>
        <v>0</v>
      </c>
      <c r="BF159" s="118">
        <f t="shared" si="266"/>
        <v>0</v>
      </c>
      <c r="BG159" s="118">
        <f t="shared" si="267"/>
        <v>0</v>
      </c>
      <c r="BH159" s="118">
        <f t="shared" si="268"/>
        <v>0</v>
      </c>
      <c r="BI159" s="122">
        <f t="shared" si="269"/>
        <v>0</v>
      </c>
      <c r="BJ159" s="118">
        <f>(AO159+AC159+K159)-Q159</f>
        <v>0</v>
      </c>
      <c r="BK159" s="108">
        <v>2020</v>
      </c>
      <c r="BL159" s="8" t="b">
        <f>EXACT(BK159,H159)</f>
        <v>1</v>
      </c>
      <c r="BM159" s="128">
        <f t="shared" si="240"/>
        <v>3.5282737087995701</v>
      </c>
      <c r="BN159" s="129">
        <f t="shared" si="220"/>
        <v>0</v>
      </c>
      <c r="BR159" s="73">
        <f>K159/$BR$15</f>
        <v>0</v>
      </c>
      <c r="BS159" s="73">
        <f>AC159/$BS$15</f>
        <v>0</v>
      </c>
      <c r="BT159" s="73">
        <f>AE159/$BT$15</f>
        <v>3.2199999999999962</v>
      </c>
      <c r="BU159" s="73">
        <f>AG159/$BU$15</f>
        <v>0</v>
      </c>
      <c r="BV159" s="73">
        <f>AI159/$BV$15</f>
        <v>0</v>
      </c>
      <c r="BW159" s="73">
        <f>AK159/$BW$15</f>
        <v>0</v>
      </c>
      <c r="BX159" s="73">
        <f>AM159/$BX$15</f>
        <v>0</v>
      </c>
      <c r="BY159" s="73">
        <f>(Q159-K159-AC159-AE159-AG159-AI159-AK159-AM159)/$BY$15</f>
        <v>0</v>
      </c>
      <c r="BZ159" s="74">
        <f>SUM(BR159:BY159)*1.2</f>
        <v>3.8639999999999954</v>
      </c>
      <c r="CB159" s="75">
        <f t="shared" si="262"/>
        <v>3.8639999999999954</v>
      </c>
      <c r="CE159" s="8"/>
      <c r="CJ159" s="70">
        <f t="shared" si="270"/>
        <v>2.2204460492503131E-16</v>
      </c>
      <c r="CL159" s="163"/>
      <c r="CM159" s="68"/>
      <c r="CN159" s="20">
        <v>7.2899999999999991</v>
      </c>
      <c r="CQ159" s="177">
        <f t="shared" si="263"/>
        <v>3.5282737087995701</v>
      </c>
      <c r="CR159" s="177">
        <f t="shared" si="264"/>
        <v>-3.7717262912004297</v>
      </c>
    </row>
    <row r="160" spans="1:96" ht="37.5" x14ac:dyDescent="0.3">
      <c r="B160" s="56" t="s">
        <v>95</v>
      </c>
      <c r="C160" s="57" t="s">
        <v>96</v>
      </c>
      <c r="D160" s="32" t="s">
        <v>129</v>
      </c>
      <c r="E160" s="33"/>
      <c r="F160" s="33"/>
      <c r="G160" s="33"/>
      <c r="H160" s="33"/>
      <c r="I160" s="34" t="s">
        <v>131</v>
      </c>
      <c r="J160" s="32">
        <f>SUM(J161:J161)</f>
        <v>8.3166451707418538</v>
      </c>
      <c r="K160" s="32">
        <f>SUM(K161:K161)</f>
        <v>0</v>
      </c>
      <c r="L160" s="32">
        <f t="shared" si="176"/>
        <v>8.3166451707418538</v>
      </c>
      <c r="M160" s="32">
        <f t="shared" ref="M160:AM160" si="289">SUM(M161:M161)</f>
        <v>0.74846518025339892</v>
      </c>
      <c r="N160" s="32">
        <f t="shared" si="289"/>
        <v>1.8297277077899436</v>
      </c>
      <c r="O160" s="32">
        <f t="shared" si="289"/>
        <v>5.4059837865490445</v>
      </c>
      <c r="P160" s="32">
        <f t="shared" si="289"/>
        <v>0.33246849614946672</v>
      </c>
      <c r="Q160" s="32">
        <f t="shared" si="289"/>
        <v>8.3166451707418538</v>
      </c>
      <c r="R160" s="32">
        <f t="shared" si="289"/>
        <v>0.74846518025339892</v>
      </c>
      <c r="S160" s="32">
        <f t="shared" si="289"/>
        <v>1.8297277077899436</v>
      </c>
      <c r="T160" s="32">
        <f t="shared" si="289"/>
        <v>5.4059837865490445</v>
      </c>
      <c r="U160" s="32">
        <f t="shared" si="289"/>
        <v>0.33246849614946672</v>
      </c>
      <c r="V160" s="32">
        <f t="shared" si="289"/>
        <v>0</v>
      </c>
      <c r="W160" s="32">
        <f t="shared" si="289"/>
        <v>8.3166451707418538</v>
      </c>
      <c r="X160" s="32">
        <f t="shared" si="289"/>
        <v>0</v>
      </c>
      <c r="Y160" s="32">
        <f t="shared" si="289"/>
        <v>-2.3833548292581455</v>
      </c>
      <c r="Z160" s="32">
        <f t="shared" si="289"/>
        <v>0</v>
      </c>
      <c r="AA160" s="32">
        <f t="shared" si="289"/>
        <v>0</v>
      </c>
      <c r="AB160" s="32">
        <f t="shared" si="289"/>
        <v>0</v>
      </c>
      <c r="AC160" s="32">
        <f t="shared" si="289"/>
        <v>0</v>
      </c>
      <c r="AD160" s="32">
        <f t="shared" si="289"/>
        <v>10.7</v>
      </c>
      <c r="AE160" s="32">
        <f t="shared" si="289"/>
        <v>8.3166451707418538</v>
      </c>
      <c r="AF160" s="32">
        <f t="shared" si="289"/>
        <v>0</v>
      </c>
      <c r="AG160" s="32">
        <f t="shared" si="289"/>
        <v>0</v>
      </c>
      <c r="AH160" s="32">
        <f t="shared" si="289"/>
        <v>0</v>
      </c>
      <c r="AI160" s="32">
        <f t="shared" si="289"/>
        <v>0</v>
      </c>
      <c r="AJ160" s="32">
        <f t="shared" si="289"/>
        <v>0</v>
      </c>
      <c r="AK160" s="32">
        <f t="shared" si="289"/>
        <v>0</v>
      </c>
      <c r="AL160" s="32">
        <f t="shared" si="289"/>
        <v>0</v>
      </c>
      <c r="AM160" s="32">
        <f t="shared" si="289"/>
        <v>0</v>
      </c>
      <c r="AN160" s="32">
        <f t="shared" si="234"/>
        <v>10.7</v>
      </c>
      <c r="AO160" s="32">
        <f t="shared" si="234"/>
        <v>8.3166451707418538</v>
      </c>
      <c r="AP160" s="99" t="s">
        <v>131</v>
      </c>
      <c r="AQ160" s="86"/>
      <c r="AR160" s="85">
        <f t="shared" si="272"/>
        <v>-2.3833548292581455</v>
      </c>
      <c r="AS160" s="85">
        <f t="shared" si="273"/>
        <v>0</v>
      </c>
      <c r="AT160" s="113"/>
      <c r="AV160" s="105">
        <f t="shared" si="165"/>
        <v>0</v>
      </c>
      <c r="AX160" s="31"/>
      <c r="AY160" s="15"/>
      <c r="AZ160" s="118">
        <v>0</v>
      </c>
      <c r="BA160" s="118">
        <v>0</v>
      </c>
      <c r="BB160" s="118">
        <v>0</v>
      </c>
      <c r="BC160" s="118">
        <v>0</v>
      </c>
      <c r="BD160" s="8"/>
      <c r="BE160" s="118">
        <f t="shared" si="265"/>
        <v>0</v>
      </c>
      <c r="BF160" s="118">
        <f t="shared" si="266"/>
        <v>0</v>
      </c>
      <c r="BG160" s="118">
        <f t="shared" si="267"/>
        <v>0</v>
      </c>
      <c r="BH160" s="118">
        <f t="shared" si="268"/>
        <v>0</v>
      </c>
      <c r="BI160" s="122">
        <f t="shared" si="269"/>
        <v>0</v>
      </c>
      <c r="BJ160" s="123"/>
      <c r="BK160" s="108"/>
      <c r="BM160" s="128">
        <f t="shared" si="240"/>
        <v>8.3166451707418538</v>
      </c>
      <c r="BN160" s="129">
        <f t="shared" si="220"/>
        <v>0</v>
      </c>
      <c r="CB160" s="75">
        <f t="shared" si="262"/>
        <v>9.1079999999999988</v>
      </c>
      <c r="CJ160" s="70">
        <f t="shared" si="270"/>
        <v>-7.7715611723760958E-16</v>
      </c>
      <c r="CL160" s="163"/>
      <c r="CM160" s="68"/>
      <c r="CN160" s="32">
        <f t="shared" ref="CN160" si="290">SUM(CN161:CN161)</f>
        <v>10.68</v>
      </c>
      <c r="CQ160" s="177">
        <f t="shared" si="263"/>
        <v>8.3166451707418538</v>
      </c>
      <c r="CR160" s="177">
        <f t="shared" si="264"/>
        <v>-2.3833548292581455</v>
      </c>
    </row>
    <row r="161" spans="1:96" ht="60.75" customHeight="1" x14ac:dyDescent="0.3">
      <c r="B161" s="51" t="s">
        <v>95</v>
      </c>
      <c r="C161" s="76" t="s">
        <v>184</v>
      </c>
      <c r="D161" s="20" t="s">
        <v>274</v>
      </c>
      <c r="E161" s="21" t="s">
        <v>487</v>
      </c>
      <c r="F161" s="21">
        <f t="shared" ref="F161" si="291">IF(K161&gt;0,2018,IF(AC161&gt;0,2019,IF(AE161&gt;0,2020,IF(AG161&gt;0,2021,IF(AI161&gt;0,2022,IF(AK161&gt;0,2023,IF(AM161&gt;0,2024,"нд")))))))</f>
        <v>2020</v>
      </c>
      <c r="G161" s="46" t="str">
        <f t="shared" ref="G161" si="292">IF(AND(L161-(K161+AB161+AD161+AF161+AH161+AJ161+AL161)&lt;0.1,L161-(K161+AB161+AD161+AF161+AH161+AJ161+AL161)&gt;0.00001),"Ошибка в -",IF((K161+AB161+AD161+AF161+AH161+AJ161+AL161)&gt;L161,"Ошибка в +",IF(L161&gt;(K161+AB161+AD161+AF161+AH161+AJ161+AL161),2025,IF(AL161&gt;0,2024,IF(AJ161&gt;0,2023,IF(AH161&gt;0,2022,IF(AF161&gt;0,2021,IF(AD161&gt;0,2020,IF(AB161&gt;0,2019,IF(K161&gt;0,2018,"нд"))))))))))</f>
        <v>Ошибка в +</v>
      </c>
      <c r="H161" s="46">
        <f t="shared" ref="H161" si="293">IF(AND((Q161-(K161+AC161+AE161+AG161+AI161+AK161+AM161))&lt;0.1,Q161-(K161+AC161+AE161+AG161+AI161+AK161+AM161)&gt;0.0001),"Ошибка в -",IF((K161+AC161+AE161+AG161+AI161+AK161+AM161)&gt;Q161,"Ошибка в +",IF(Q161&gt;(K161+AC161+AE161+AG161+AI161+AK161+AM161),2025,IF(AM161&gt;0,2024,IF(AK161&gt;0,2023,IF(AI161&gt;0,2022,IF(AG161&gt;0,2021,IF(AE161&gt;0,2020,IF(AC161&gt;0,2019,IF(K161&gt;0,2018,"нд"))))))))))</f>
        <v>2020</v>
      </c>
      <c r="I161" s="22" t="s">
        <v>131</v>
      </c>
      <c r="J161" s="20">
        <f>Q161</f>
        <v>8.3166451707418538</v>
      </c>
      <c r="K161" s="20">
        <v>0</v>
      </c>
      <c r="L161" s="20">
        <f t="shared" si="176"/>
        <v>8.3166451707418538</v>
      </c>
      <c r="M161" s="20">
        <v>0.74846518025339892</v>
      </c>
      <c r="N161" s="20">
        <v>1.8297277077899436</v>
      </c>
      <c r="O161" s="20">
        <v>5.4059837865490445</v>
      </c>
      <c r="P161" s="20">
        <v>0.33246849614946672</v>
      </c>
      <c r="Q161" s="20">
        <v>8.3166451707418538</v>
      </c>
      <c r="R161" s="20">
        <f>M161/L161*Q161</f>
        <v>0.74846518025339892</v>
      </c>
      <c r="S161" s="20">
        <f>N161/L161*Q161</f>
        <v>1.8297277077899436</v>
      </c>
      <c r="T161" s="20">
        <f>O161/L161*Q161</f>
        <v>5.4059837865490445</v>
      </c>
      <c r="U161" s="20">
        <f>P161/L161*Q161</f>
        <v>0.33246849614946672</v>
      </c>
      <c r="V161" s="20">
        <v>0</v>
      </c>
      <c r="W161" s="20">
        <f t="shared" ref="W161" si="294">L161-K161</f>
        <v>8.3166451707418538</v>
      </c>
      <c r="X161" s="20"/>
      <c r="Y161" s="20">
        <f t="shared" ref="Y161" si="295">W161-(AB161+AD161+AF161)</f>
        <v>-2.3833548292581455</v>
      </c>
      <c r="Z161" s="28"/>
      <c r="AA161" s="20">
        <f t="shared" ref="AA161" si="296">Q161-(K161+AC161+AE161+AG161)</f>
        <v>0</v>
      </c>
      <c r="AB161" s="20">
        <v>0</v>
      </c>
      <c r="AC161" s="20">
        <v>0</v>
      </c>
      <c r="AD161" s="174">
        <v>10.7</v>
      </c>
      <c r="AE161" s="20">
        <v>8.3166451707418538</v>
      </c>
      <c r="AF161" s="20"/>
      <c r="AG161" s="20"/>
      <c r="AH161" s="20"/>
      <c r="AI161" s="20"/>
      <c r="AJ161" s="20"/>
      <c r="AK161" s="20"/>
      <c r="AL161" s="20"/>
      <c r="AM161" s="20"/>
      <c r="AN161" s="20">
        <f t="shared" si="234"/>
        <v>10.7</v>
      </c>
      <c r="AO161" s="20">
        <f t="shared" si="234"/>
        <v>8.3166451707418538</v>
      </c>
      <c r="AP161" s="94"/>
      <c r="AQ161" s="86"/>
      <c r="AR161" s="85">
        <f t="shared" si="272"/>
        <v>-2.3833548292581455</v>
      </c>
      <c r="AS161" s="85">
        <f t="shared" si="273"/>
        <v>0</v>
      </c>
      <c r="AT161" s="113">
        <f t="shared" si="166"/>
        <v>0</v>
      </c>
      <c r="AV161" s="105">
        <f t="shared" si="165"/>
        <v>0</v>
      </c>
      <c r="AX161" s="31">
        <f>J161-Q161</f>
        <v>0</v>
      </c>
      <c r="AY161" s="15"/>
      <c r="AZ161" s="118"/>
      <c r="BA161" s="118"/>
      <c r="BB161" s="118"/>
      <c r="BC161" s="118"/>
      <c r="BD161" s="8"/>
      <c r="BE161" s="118">
        <f t="shared" si="265"/>
        <v>0</v>
      </c>
      <c r="BF161" s="118">
        <f t="shared" si="266"/>
        <v>0</v>
      </c>
      <c r="BG161" s="118">
        <f t="shared" si="267"/>
        <v>0</v>
      </c>
      <c r="BH161" s="118">
        <f t="shared" si="268"/>
        <v>0</v>
      </c>
      <c r="BI161" s="122">
        <f t="shared" si="269"/>
        <v>0</v>
      </c>
      <c r="BJ161" s="118">
        <f>(AO161+AC161+K161)-Q161</f>
        <v>0</v>
      </c>
      <c r="BK161" s="108">
        <v>2020</v>
      </c>
      <c r="BL161" s="8" t="b">
        <f>EXACT(BK161,H161)</f>
        <v>1</v>
      </c>
      <c r="BM161" s="128">
        <f t="shared" si="240"/>
        <v>8.3166451707418538</v>
      </c>
      <c r="BN161" s="129">
        <f t="shared" si="220"/>
        <v>0</v>
      </c>
      <c r="BR161" s="73">
        <f>K161/$BR$15</f>
        <v>0</v>
      </c>
      <c r="BS161" s="73">
        <f>AC161/$BS$15</f>
        <v>0</v>
      </c>
      <c r="BT161" s="73">
        <f>AE161/$BT$15</f>
        <v>7.59</v>
      </c>
      <c r="BU161" s="73">
        <f>AG161/$BU$15</f>
        <v>0</v>
      </c>
      <c r="BV161" s="73">
        <f>AI161/$BV$15</f>
        <v>0</v>
      </c>
      <c r="BW161" s="73">
        <f>AK161/$BW$15</f>
        <v>0</v>
      </c>
      <c r="BX161" s="73">
        <f>AM161/$BX$15</f>
        <v>0</v>
      </c>
      <c r="BY161" s="73">
        <f>(Q161-K161-AC161-AE161-AG161-AI161-AK161-AM161)/$BY$15</f>
        <v>0</v>
      </c>
      <c r="BZ161" s="74">
        <f>SUM(BR161:BY161)*1.2</f>
        <v>9.1079999999999988</v>
      </c>
      <c r="CB161" s="75">
        <f t="shared" si="262"/>
        <v>9.1079999999999988</v>
      </c>
      <c r="CE161" s="8"/>
      <c r="CJ161" s="70">
        <f t="shared" si="270"/>
        <v>-7.7715611723760958E-16</v>
      </c>
      <c r="CL161" s="163"/>
      <c r="CM161" s="68"/>
      <c r="CN161" s="20">
        <v>10.68</v>
      </c>
      <c r="CQ161" s="177">
        <f t="shared" si="263"/>
        <v>8.3166451707418538</v>
      </c>
      <c r="CR161" s="177">
        <f t="shared" si="264"/>
        <v>-2.3833548292581455</v>
      </c>
    </row>
    <row r="162" spans="1:96" ht="37.5" x14ac:dyDescent="0.3">
      <c r="B162" s="54" t="s">
        <v>97</v>
      </c>
      <c r="C162" s="55" t="s">
        <v>98</v>
      </c>
      <c r="D162" s="35" t="s">
        <v>129</v>
      </c>
      <c r="E162" s="35"/>
      <c r="F162" s="35"/>
      <c r="G162" s="36"/>
      <c r="H162" s="36"/>
      <c r="I162" s="37" t="s">
        <v>131</v>
      </c>
      <c r="J162" s="35">
        <f>J163+J169</f>
        <v>138.87120000000002</v>
      </c>
      <c r="K162" s="35">
        <f>K163+K169</f>
        <v>0</v>
      </c>
      <c r="L162" s="35">
        <f t="shared" si="176"/>
        <v>931.5204033651828</v>
      </c>
      <c r="M162" s="35">
        <f t="shared" ref="M162:AM162" si="297">M163+M169</f>
        <v>83.837443419297855</v>
      </c>
      <c r="N162" s="35">
        <f t="shared" si="297"/>
        <v>204.93524432861338</v>
      </c>
      <c r="O162" s="35">
        <f t="shared" si="297"/>
        <v>605.49119183903531</v>
      </c>
      <c r="P162" s="35">
        <f t="shared" si="297"/>
        <v>37.256523778236236</v>
      </c>
      <c r="Q162" s="35">
        <f t="shared" si="297"/>
        <v>927.39400000000001</v>
      </c>
      <c r="R162" s="35">
        <f t="shared" si="297"/>
        <v>83.466082455229056</v>
      </c>
      <c r="S162" s="35">
        <f t="shared" si="297"/>
        <v>204.02772386624238</v>
      </c>
      <c r="T162" s="35">
        <f t="shared" si="297"/>
        <v>602.8089993248733</v>
      </c>
      <c r="U162" s="35">
        <f t="shared" si="297"/>
        <v>37.091194353655375</v>
      </c>
      <c r="V162" s="35">
        <f t="shared" si="297"/>
        <v>0</v>
      </c>
      <c r="W162" s="35">
        <f t="shared" si="297"/>
        <v>931.52040336518257</v>
      </c>
      <c r="X162" s="35">
        <f t="shared" si="297"/>
        <v>0</v>
      </c>
      <c r="Y162" s="35">
        <f t="shared" si="297"/>
        <v>540.50820336518279</v>
      </c>
      <c r="Z162" s="35">
        <f t="shared" si="297"/>
        <v>0</v>
      </c>
      <c r="AA162" s="35">
        <f t="shared" si="297"/>
        <v>501.73230000000007</v>
      </c>
      <c r="AB162" s="35">
        <f t="shared" si="297"/>
        <v>0</v>
      </c>
      <c r="AC162" s="35">
        <f t="shared" si="297"/>
        <v>0</v>
      </c>
      <c r="AD162" s="35">
        <f t="shared" si="297"/>
        <v>193.8</v>
      </c>
      <c r="AE162" s="35">
        <f t="shared" si="297"/>
        <v>264.03599999999994</v>
      </c>
      <c r="AF162" s="35">
        <f t="shared" si="297"/>
        <v>197.2122</v>
      </c>
      <c r="AG162" s="35">
        <f t="shared" si="297"/>
        <v>161.62570000000002</v>
      </c>
      <c r="AH162" s="35">
        <f t="shared" si="297"/>
        <v>140.55826242083694</v>
      </c>
      <c r="AI162" s="35">
        <f t="shared" si="297"/>
        <v>137.26929999999999</v>
      </c>
      <c r="AJ162" s="35">
        <f t="shared" si="297"/>
        <v>139.80996840366868</v>
      </c>
      <c r="AK162" s="35">
        <f t="shared" si="297"/>
        <v>166.35400000000001</v>
      </c>
      <c r="AL162" s="35">
        <f t="shared" si="297"/>
        <v>189.91897254067712</v>
      </c>
      <c r="AM162" s="35">
        <f t="shared" si="297"/>
        <v>198.12400000000002</v>
      </c>
      <c r="AN162" s="35">
        <f t="shared" si="234"/>
        <v>861.2994033651828</v>
      </c>
      <c r="AO162" s="35">
        <f t="shared" si="234"/>
        <v>927.40900000000011</v>
      </c>
      <c r="AP162" s="98" t="s">
        <v>131</v>
      </c>
      <c r="AQ162" s="86"/>
      <c r="AR162" s="85">
        <f t="shared" si="272"/>
        <v>70.221000000000004</v>
      </c>
      <c r="AS162" s="85">
        <f t="shared" si="273"/>
        <v>-1.5000000000100044E-2</v>
      </c>
      <c r="AT162" s="113"/>
      <c r="AV162" s="105">
        <f t="shared" si="165"/>
        <v>-1.5000000000014779E-2</v>
      </c>
      <c r="AX162" s="31"/>
      <c r="AY162" s="15"/>
      <c r="AZ162" s="118">
        <v>161.62570000000002</v>
      </c>
      <c r="BA162" s="118">
        <v>141.77802999999997</v>
      </c>
      <c r="BB162" s="118">
        <v>188.774</v>
      </c>
      <c r="BC162" s="118">
        <v>200.19351066608618</v>
      </c>
      <c r="BD162" s="8"/>
      <c r="BE162" s="118">
        <f t="shared" si="265"/>
        <v>0</v>
      </c>
      <c r="BF162" s="118">
        <f t="shared" si="266"/>
        <v>-4.5087299999999857</v>
      </c>
      <c r="BG162" s="118">
        <f t="shared" si="267"/>
        <v>-22.419999999999987</v>
      </c>
      <c r="BH162" s="118">
        <f t="shared" si="268"/>
        <v>-2.0695106660861597</v>
      </c>
      <c r="BI162" s="122">
        <f t="shared" si="269"/>
        <v>-28.998240666086133</v>
      </c>
      <c r="BJ162" s="123"/>
      <c r="BK162" s="108"/>
      <c r="BM162" s="128">
        <f t="shared" si="240"/>
        <v>927.40900000000011</v>
      </c>
      <c r="BN162" s="129">
        <f t="shared" si="220"/>
        <v>1.5000000000100044E-2</v>
      </c>
      <c r="CB162" s="75">
        <f t="shared" si="262"/>
        <v>940.73056139744347</v>
      </c>
      <c r="CJ162" s="70">
        <f t="shared" si="270"/>
        <v>-9.2370555648813024E-14</v>
      </c>
      <c r="CL162" s="163"/>
      <c r="CM162" s="68"/>
      <c r="CN162" s="35">
        <f t="shared" ref="CN162" si="298">CN163+CN169</f>
        <v>193.64999999999998</v>
      </c>
      <c r="CQ162" s="177">
        <f t="shared" si="263"/>
        <v>895.94890336518279</v>
      </c>
      <c r="CR162" s="177">
        <f t="shared" si="264"/>
        <v>34.649499999999989</v>
      </c>
    </row>
    <row r="163" spans="1:96" ht="20.25" x14ac:dyDescent="0.3">
      <c r="B163" s="56" t="s">
        <v>99</v>
      </c>
      <c r="C163" s="57" t="s">
        <v>100</v>
      </c>
      <c r="D163" s="32" t="s">
        <v>129</v>
      </c>
      <c r="E163" s="32"/>
      <c r="F163" s="32"/>
      <c r="G163" s="33"/>
      <c r="H163" s="33"/>
      <c r="I163" s="34" t="s">
        <v>131</v>
      </c>
      <c r="J163" s="32">
        <f>SUM(J164:J168)</f>
        <v>0</v>
      </c>
      <c r="K163" s="32">
        <f>SUM(K164:K168)</f>
        <v>0</v>
      </c>
      <c r="L163" s="32">
        <f t="shared" si="176"/>
        <v>0</v>
      </c>
      <c r="M163" s="32">
        <f t="shared" ref="M163:V163" si="299">SUM(M164:M168)</f>
        <v>0</v>
      </c>
      <c r="N163" s="32">
        <f t="shared" si="299"/>
        <v>0</v>
      </c>
      <c r="O163" s="32">
        <f t="shared" si="299"/>
        <v>0</v>
      </c>
      <c r="P163" s="32">
        <f t="shared" si="299"/>
        <v>0</v>
      </c>
      <c r="Q163" s="32">
        <f t="shared" si="299"/>
        <v>0</v>
      </c>
      <c r="R163" s="32">
        <f t="shared" si="299"/>
        <v>0</v>
      </c>
      <c r="S163" s="32">
        <f t="shared" si="299"/>
        <v>0</v>
      </c>
      <c r="T163" s="32">
        <f t="shared" si="299"/>
        <v>0</v>
      </c>
      <c r="U163" s="32">
        <f t="shared" si="299"/>
        <v>0</v>
      </c>
      <c r="V163" s="32">
        <f t="shared" si="299"/>
        <v>0</v>
      </c>
      <c r="W163" s="32">
        <f t="shared" si="236"/>
        <v>0</v>
      </c>
      <c r="X163" s="32">
        <f>SUM(X164:X168)</f>
        <v>0</v>
      </c>
      <c r="Y163" s="32">
        <f t="shared" si="237"/>
        <v>0</v>
      </c>
      <c r="Z163" s="32">
        <f>SUM(Z164:Z168)</f>
        <v>0</v>
      </c>
      <c r="AA163" s="32">
        <f t="shared" si="238"/>
        <v>0</v>
      </c>
      <c r="AB163" s="32">
        <f t="shared" ref="AB163:AM163" si="300">SUM(AB164:AB168)</f>
        <v>0</v>
      </c>
      <c r="AC163" s="32">
        <f t="shared" si="300"/>
        <v>0</v>
      </c>
      <c r="AD163" s="32">
        <f t="shared" si="300"/>
        <v>0</v>
      </c>
      <c r="AE163" s="32">
        <f t="shared" si="300"/>
        <v>0</v>
      </c>
      <c r="AF163" s="32">
        <f t="shared" si="300"/>
        <v>0</v>
      </c>
      <c r="AG163" s="32">
        <f t="shared" si="300"/>
        <v>0</v>
      </c>
      <c r="AH163" s="32">
        <f t="shared" si="300"/>
        <v>0</v>
      </c>
      <c r="AI163" s="32">
        <f t="shared" si="300"/>
        <v>0</v>
      </c>
      <c r="AJ163" s="32">
        <f t="shared" si="300"/>
        <v>0</v>
      </c>
      <c r="AK163" s="32">
        <f t="shared" si="300"/>
        <v>0</v>
      </c>
      <c r="AL163" s="32">
        <f t="shared" si="300"/>
        <v>0</v>
      </c>
      <c r="AM163" s="32">
        <f t="shared" si="300"/>
        <v>0</v>
      </c>
      <c r="AN163" s="32">
        <f t="shared" si="234"/>
        <v>0</v>
      </c>
      <c r="AO163" s="32">
        <f t="shared" si="234"/>
        <v>0</v>
      </c>
      <c r="AP163" s="99" t="s">
        <v>131</v>
      </c>
      <c r="AQ163" s="86"/>
      <c r="AR163" s="85">
        <f t="shared" si="272"/>
        <v>0</v>
      </c>
      <c r="AS163" s="85">
        <f t="shared" si="273"/>
        <v>0</v>
      </c>
      <c r="AT163" s="113"/>
      <c r="AV163" s="105">
        <f t="shared" si="165"/>
        <v>0</v>
      </c>
      <c r="AX163" s="31"/>
      <c r="AY163" s="15"/>
      <c r="AZ163" s="118">
        <v>0</v>
      </c>
      <c r="BA163" s="118">
        <v>0</v>
      </c>
      <c r="BB163" s="118">
        <v>0</v>
      </c>
      <c r="BC163" s="118">
        <v>0</v>
      </c>
      <c r="BD163" s="8"/>
      <c r="BE163" s="118">
        <f t="shared" si="265"/>
        <v>0</v>
      </c>
      <c r="BF163" s="118">
        <f t="shared" si="266"/>
        <v>0</v>
      </c>
      <c r="BG163" s="118">
        <f t="shared" si="267"/>
        <v>0</v>
      </c>
      <c r="BH163" s="118">
        <f t="shared" si="268"/>
        <v>0</v>
      </c>
      <c r="BI163" s="122">
        <f t="shared" si="269"/>
        <v>0</v>
      </c>
      <c r="BJ163" s="123"/>
      <c r="BK163" s="108"/>
      <c r="BM163" s="128">
        <f t="shared" si="240"/>
        <v>0</v>
      </c>
      <c r="BN163" s="129">
        <f t="shared" si="220"/>
        <v>0</v>
      </c>
      <c r="CB163" s="75">
        <f t="shared" si="262"/>
        <v>0</v>
      </c>
      <c r="CJ163" s="70">
        <f t="shared" si="270"/>
        <v>0</v>
      </c>
      <c r="CL163" s="163"/>
      <c r="CM163" s="68"/>
      <c r="CN163" s="32">
        <f t="shared" ref="CN163" si="301">SUM(CN164:CN168)</f>
        <v>0</v>
      </c>
      <c r="CQ163" s="177">
        <f t="shared" si="263"/>
        <v>0</v>
      </c>
      <c r="CR163" s="177">
        <f t="shared" si="264"/>
        <v>0</v>
      </c>
    </row>
    <row r="164" spans="1:96" s="8" customFormat="1" ht="76.5" customHeight="1" x14ac:dyDescent="0.3">
      <c r="A164" s="44" t="s">
        <v>531</v>
      </c>
      <c r="B164" s="51" t="s">
        <v>99</v>
      </c>
      <c r="C164" s="71" t="s">
        <v>593</v>
      </c>
      <c r="D164" s="20" t="s">
        <v>275</v>
      </c>
      <c r="E164" s="21" t="s">
        <v>483</v>
      </c>
      <c r="F164" s="21" t="str">
        <f t="shared" ref="F164:F168" si="302">IF(K164&gt;0,2018,IF(AC164&gt;0,2019,IF(AE164&gt;0,2020,IF(AG164&gt;0,2021,IF(AI164&gt;0,2022,IF(AK164&gt;0,2023,IF(AM164&gt;0,2024,"нд")))))))</f>
        <v>нд</v>
      </c>
      <c r="G164" s="46" t="str">
        <f t="shared" ref="G164:G168" si="303">IF(AND(L164-(K164+AB164+AD164+AF164+AH164+AJ164+AL164)&lt;0.1,L164-(K164+AB164+AD164+AF164+AH164+AJ164+AL164)&gt;0.00001),"Ошибка в -",IF((K164+AB164+AD164+AF164+AH164+AJ164+AL164)&gt;L164,"Ошибка в +",IF(L164&gt;(K164+AB164+AD164+AF164+AH164+AJ164+AL164),2025,IF(AL164&gt;0,2024,IF(AJ164&gt;0,2023,IF(AH164&gt;0,2022,IF(AF164&gt;0,2021,IF(AD164&gt;0,2020,IF(AB164&gt;0,2019,IF(K164&gt;0,2018,"нд"))))))))))</f>
        <v>нд</v>
      </c>
      <c r="H164" s="46" t="str">
        <f t="shared" ref="H164:H168" si="304">IF(AND((Q164-(K164+AC164+AE164+AG164+AI164+AK164+AM164))&lt;0.1,Q164-(K164+AC164+AE164+AG164+AI164+AK164+AM164)&gt;0.0001),"Ошибка в -",IF((K164+AC164+AE164+AG164+AI164+AK164+AM164)&gt;Q164,"Ошибка в +",IF(Q164&gt;(K164+AC164+AE164+AG164+AI164+AK164+AM164),2025,IF(AM164&gt;0,2024,IF(AK164&gt;0,2023,IF(AI164&gt;0,2022,IF(AG164&gt;0,2021,IF(AE164&gt;0,2020,IF(AC164&gt;0,2019,IF(K164&gt;0,2018,"нд"))))))))))</f>
        <v>нд</v>
      </c>
      <c r="I164" s="22" t="s">
        <v>131</v>
      </c>
      <c r="J164" s="20" t="s">
        <v>131</v>
      </c>
      <c r="K164" s="20">
        <v>0</v>
      </c>
      <c r="L164" s="20">
        <f t="shared" si="176"/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</v>
      </c>
      <c r="V164" s="20">
        <v>0</v>
      </c>
      <c r="W164" s="20">
        <f t="shared" si="236"/>
        <v>0</v>
      </c>
      <c r="X164" s="20"/>
      <c r="Y164" s="20">
        <f t="shared" ref="Y164:Y168" si="305">W164-(AB164+AD164+AF164)</f>
        <v>0</v>
      </c>
      <c r="Z164" s="28"/>
      <c r="AA164" s="20">
        <f t="shared" ref="AA164:AA168" si="306">Q164-(K164+AC164+AE164+AG164)</f>
        <v>0</v>
      </c>
      <c r="AB164" s="20">
        <v>0</v>
      </c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>
        <f t="shared" si="234"/>
        <v>0</v>
      </c>
      <c r="AO164" s="20">
        <f t="shared" si="234"/>
        <v>0</v>
      </c>
      <c r="AP164" s="94" t="s">
        <v>499</v>
      </c>
      <c r="AQ164" s="86"/>
      <c r="AR164" s="85">
        <f t="shared" si="272"/>
        <v>0</v>
      </c>
      <c r="AS164" s="85">
        <f t="shared" si="273"/>
        <v>0</v>
      </c>
      <c r="AT164" s="113">
        <f t="shared" si="166"/>
        <v>0</v>
      </c>
      <c r="AV164" s="105">
        <f t="shared" si="165"/>
        <v>0</v>
      </c>
      <c r="AX164" s="31"/>
      <c r="AY164" s="15"/>
      <c r="AZ164" s="118"/>
      <c r="BA164" s="118"/>
      <c r="BB164" s="118"/>
      <c r="BC164" s="118"/>
      <c r="BE164" s="118">
        <f t="shared" si="265"/>
        <v>0</v>
      </c>
      <c r="BF164" s="118">
        <f t="shared" si="266"/>
        <v>0</v>
      </c>
      <c r="BG164" s="118">
        <f t="shared" si="267"/>
        <v>0</v>
      </c>
      <c r="BH164" s="118">
        <f t="shared" si="268"/>
        <v>0</v>
      </c>
      <c r="BI164" s="122">
        <f t="shared" si="269"/>
        <v>0</v>
      </c>
      <c r="BJ164" s="118">
        <f t="shared" ref="BJ164:BJ168" si="307">(AO164+AC164+K164)-Q164</f>
        <v>0</v>
      </c>
      <c r="BK164" s="44" t="s">
        <v>131</v>
      </c>
      <c r="BL164" s="8" t="b">
        <f t="shared" ref="BL164:BL168" si="308">EXACT(BK164,H164)</f>
        <v>1</v>
      </c>
      <c r="BM164" s="128">
        <f t="shared" si="240"/>
        <v>0</v>
      </c>
      <c r="BN164" s="129">
        <f t="shared" si="220"/>
        <v>0</v>
      </c>
      <c r="BR164" s="73">
        <f>K164/$BR$15</f>
        <v>0</v>
      </c>
      <c r="BS164" s="73">
        <f>AC164/$BS$15</f>
        <v>0</v>
      </c>
      <c r="BT164" s="73">
        <f>AE164/$BT$15</f>
        <v>0</v>
      </c>
      <c r="BU164" s="73">
        <f>AG164/$BU$15</f>
        <v>0</v>
      </c>
      <c r="BV164" s="73">
        <f>AI164/$BV$15</f>
        <v>0</v>
      </c>
      <c r="BW164" s="73">
        <f>AK164/$BW$15</f>
        <v>0</v>
      </c>
      <c r="BX164" s="73">
        <f>AM164/$BX$15</f>
        <v>0</v>
      </c>
      <c r="BY164" s="73">
        <f>(Q164-K164-AC164-AE164-AG164-AI164-AK164-AM164)/$BY$15</f>
        <v>0</v>
      </c>
      <c r="BZ164" s="74">
        <f>SUM(BR164:BY164)*1.2</f>
        <v>0</v>
      </c>
      <c r="CB164" s="75">
        <f t="shared" si="262"/>
        <v>0</v>
      </c>
      <c r="CJ164" s="70">
        <f t="shared" si="270"/>
        <v>0</v>
      </c>
      <c r="CK164" s="166"/>
      <c r="CL164" s="163"/>
      <c r="CM164" s="68"/>
      <c r="CN164" s="20"/>
      <c r="CQ164" s="177">
        <f t="shared" si="263"/>
        <v>0</v>
      </c>
      <c r="CR164" s="177">
        <f t="shared" si="264"/>
        <v>0</v>
      </c>
    </row>
    <row r="165" spans="1:96" s="8" customFormat="1" ht="56.25" x14ac:dyDescent="0.3">
      <c r="A165" s="44" t="s">
        <v>531</v>
      </c>
      <c r="B165" s="51" t="s">
        <v>99</v>
      </c>
      <c r="C165" s="71" t="s">
        <v>463</v>
      </c>
      <c r="D165" s="20" t="s">
        <v>276</v>
      </c>
      <c r="E165" s="21" t="s">
        <v>483</v>
      </c>
      <c r="F165" s="21" t="str">
        <f t="shared" si="302"/>
        <v>нд</v>
      </c>
      <c r="G165" s="46" t="str">
        <f t="shared" si="303"/>
        <v>нд</v>
      </c>
      <c r="H165" s="46" t="str">
        <f t="shared" si="304"/>
        <v>нд</v>
      </c>
      <c r="I165" s="22" t="s">
        <v>131</v>
      </c>
      <c r="J165" s="20" t="s">
        <v>131</v>
      </c>
      <c r="K165" s="20">
        <v>0</v>
      </c>
      <c r="L165" s="20">
        <f t="shared" si="176"/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0</v>
      </c>
      <c r="V165" s="20">
        <v>0</v>
      </c>
      <c r="W165" s="20">
        <f t="shared" si="236"/>
        <v>0</v>
      </c>
      <c r="X165" s="20"/>
      <c r="Y165" s="20">
        <f t="shared" si="305"/>
        <v>0</v>
      </c>
      <c r="Z165" s="28"/>
      <c r="AA165" s="20">
        <f t="shared" si="306"/>
        <v>0</v>
      </c>
      <c r="AB165" s="20">
        <v>0</v>
      </c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>
        <f t="shared" si="234"/>
        <v>0</v>
      </c>
      <c r="AO165" s="20">
        <f t="shared" si="234"/>
        <v>0</v>
      </c>
      <c r="AP165" s="94" t="s">
        <v>499</v>
      </c>
      <c r="AQ165" s="86"/>
      <c r="AR165" s="85">
        <f t="shared" si="272"/>
        <v>0</v>
      </c>
      <c r="AS165" s="85">
        <f t="shared" si="273"/>
        <v>0</v>
      </c>
      <c r="AT165" s="113">
        <f t="shared" si="166"/>
        <v>0</v>
      </c>
      <c r="AV165" s="105">
        <f t="shared" ref="AV165:AV228" si="309">Q165-K165-AC165-AE165-AG165-AI165-AK165-AM165</f>
        <v>0</v>
      </c>
      <c r="AX165" s="31"/>
      <c r="AY165" s="15"/>
      <c r="AZ165" s="118"/>
      <c r="BA165" s="118"/>
      <c r="BB165" s="118"/>
      <c r="BC165" s="118"/>
      <c r="BE165" s="118">
        <f t="shared" si="265"/>
        <v>0</v>
      </c>
      <c r="BF165" s="118">
        <f t="shared" si="266"/>
        <v>0</v>
      </c>
      <c r="BG165" s="118">
        <f t="shared" si="267"/>
        <v>0</v>
      </c>
      <c r="BH165" s="118">
        <f t="shared" si="268"/>
        <v>0</v>
      </c>
      <c r="BI165" s="122">
        <f t="shared" si="269"/>
        <v>0</v>
      </c>
      <c r="BJ165" s="118">
        <f t="shared" si="307"/>
        <v>0</v>
      </c>
      <c r="BK165" s="44" t="s">
        <v>131</v>
      </c>
      <c r="BL165" s="8" t="b">
        <f t="shared" si="308"/>
        <v>1</v>
      </c>
      <c r="BM165" s="128">
        <f t="shared" si="240"/>
        <v>0</v>
      </c>
      <c r="BN165" s="129">
        <f t="shared" si="220"/>
        <v>0</v>
      </c>
      <c r="BR165" s="73">
        <f>K165/$BR$15</f>
        <v>0</v>
      </c>
      <c r="BS165" s="73">
        <f>AC165/$BS$15</f>
        <v>0</v>
      </c>
      <c r="BT165" s="73">
        <f>AE165/$BT$15</f>
        <v>0</v>
      </c>
      <c r="BU165" s="73">
        <f>AG165/$BU$15</f>
        <v>0</v>
      </c>
      <c r="BV165" s="73">
        <f>AI165/$BV$15</f>
        <v>0</v>
      </c>
      <c r="BW165" s="73">
        <f>AK165/$BW$15</f>
        <v>0</v>
      </c>
      <c r="BX165" s="73">
        <f>AM165/$BX$15</f>
        <v>0</v>
      </c>
      <c r="BY165" s="73">
        <f>(Q165-K165-AC165-AE165-AG165-AI165-AK165-AM165)/$BY$15</f>
        <v>0</v>
      </c>
      <c r="BZ165" s="74">
        <f>SUM(BR165:BY165)*1.2</f>
        <v>0</v>
      </c>
      <c r="CB165" s="75">
        <f t="shared" si="262"/>
        <v>0</v>
      </c>
      <c r="CJ165" s="70">
        <f t="shared" si="270"/>
        <v>0</v>
      </c>
      <c r="CK165" s="166"/>
      <c r="CL165" s="163"/>
      <c r="CM165" s="68"/>
      <c r="CN165" s="20"/>
      <c r="CQ165" s="177">
        <f t="shared" si="263"/>
        <v>0</v>
      </c>
      <c r="CR165" s="177">
        <f t="shared" si="264"/>
        <v>0</v>
      </c>
    </row>
    <row r="166" spans="1:96" s="8" customFormat="1" ht="49.5" x14ac:dyDescent="0.3">
      <c r="A166" s="44" t="s">
        <v>531</v>
      </c>
      <c r="B166" s="51" t="s">
        <v>99</v>
      </c>
      <c r="C166" s="71" t="s">
        <v>464</v>
      </c>
      <c r="D166" s="20" t="s">
        <v>277</v>
      </c>
      <c r="E166" s="21" t="s">
        <v>483</v>
      </c>
      <c r="F166" s="21" t="str">
        <f t="shared" si="302"/>
        <v>нд</v>
      </c>
      <c r="G166" s="46" t="str">
        <f t="shared" si="303"/>
        <v>нд</v>
      </c>
      <c r="H166" s="46" t="str">
        <f t="shared" si="304"/>
        <v>нд</v>
      </c>
      <c r="I166" s="22" t="s">
        <v>131</v>
      </c>
      <c r="J166" s="20" t="s">
        <v>131</v>
      </c>
      <c r="K166" s="20">
        <v>0</v>
      </c>
      <c r="L166" s="20">
        <f t="shared" si="176"/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20">
        <f t="shared" si="236"/>
        <v>0</v>
      </c>
      <c r="X166" s="20"/>
      <c r="Y166" s="20">
        <f t="shared" si="305"/>
        <v>0</v>
      </c>
      <c r="Z166" s="28"/>
      <c r="AA166" s="20">
        <f t="shared" si="306"/>
        <v>0</v>
      </c>
      <c r="AB166" s="20">
        <v>0</v>
      </c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>
        <f t="shared" si="234"/>
        <v>0</v>
      </c>
      <c r="AO166" s="20">
        <f t="shared" si="234"/>
        <v>0</v>
      </c>
      <c r="AP166" s="94" t="s">
        <v>499</v>
      </c>
      <c r="AQ166" s="86"/>
      <c r="AR166" s="85">
        <f t="shared" si="272"/>
        <v>0</v>
      </c>
      <c r="AS166" s="85">
        <f t="shared" si="273"/>
        <v>0</v>
      </c>
      <c r="AT166" s="113">
        <f t="shared" ref="AT166:AT229" si="310">Q166-L166</f>
        <v>0</v>
      </c>
      <c r="AV166" s="105">
        <f t="shared" si="309"/>
        <v>0</v>
      </c>
      <c r="AX166" s="31"/>
      <c r="AY166" s="15"/>
      <c r="AZ166" s="118"/>
      <c r="BA166" s="118"/>
      <c r="BB166" s="118"/>
      <c r="BC166" s="118"/>
      <c r="BE166" s="118">
        <f t="shared" si="265"/>
        <v>0</v>
      </c>
      <c r="BF166" s="118">
        <f t="shared" si="266"/>
        <v>0</v>
      </c>
      <c r="BG166" s="118">
        <f t="shared" si="267"/>
        <v>0</v>
      </c>
      <c r="BH166" s="118">
        <f t="shared" si="268"/>
        <v>0</v>
      </c>
      <c r="BI166" s="122">
        <f t="shared" si="269"/>
        <v>0</v>
      </c>
      <c r="BJ166" s="118">
        <f t="shared" si="307"/>
        <v>0</v>
      </c>
      <c r="BK166" s="44" t="s">
        <v>131</v>
      </c>
      <c r="BL166" s="8" t="b">
        <f t="shared" si="308"/>
        <v>1</v>
      </c>
      <c r="BM166" s="128">
        <f t="shared" si="240"/>
        <v>0</v>
      </c>
      <c r="BN166" s="129">
        <f t="shared" si="220"/>
        <v>0</v>
      </c>
      <c r="BR166" s="73">
        <f>K166/$BR$15</f>
        <v>0</v>
      </c>
      <c r="BS166" s="73">
        <f>AC166/$BS$15</f>
        <v>0</v>
      </c>
      <c r="BT166" s="73">
        <f>AE166/$BT$15</f>
        <v>0</v>
      </c>
      <c r="BU166" s="73">
        <f>AG166/$BU$15</f>
        <v>0</v>
      </c>
      <c r="BV166" s="73">
        <f>AI166/$BV$15</f>
        <v>0</v>
      </c>
      <c r="BW166" s="73">
        <f>AK166/$BW$15</f>
        <v>0</v>
      </c>
      <c r="BX166" s="73">
        <f>AM166/$BX$15</f>
        <v>0</v>
      </c>
      <c r="BY166" s="73">
        <f>(Q166-K166-AC166-AE166-AG166-AI166-AK166-AM166)/$BY$15</f>
        <v>0</v>
      </c>
      <c r="BZ166" s="74">
        <f>SUM(BR166:BY166)*1.2</f>
        <v>0</v>
      </c>
      <c r="CB166" s="75">
        <f t="shared" si="262"/>
        <v>0</v>
      </c>
      <c r="CJ166" s="70">
        <f t="shared" si="270"/>
        <v>0</v>
      </c>
      <c r="CK166" s="166"/>
      <c r="CL166" s="163"/>
      <c r="CM166" s="68"/>
      <c r="CN166" s="20"/>
      <c r="CQ166" s="177">
        <f t="shared" si="263"/>
        <v>0</v>
      </c>
      <c r="CR166" s="177">
        <f t="shared" si="264"/>
        <v>0</v>
      </c>
    </row>
    <row r="167" spans="1:96" s="8" customFormat="1" ht="55.5" customHeight="1" x14ac:dyDescent="0.3">
      <c r="A167" s="44" t="s">
        <v>531</v>
      </c>
      <c r="B167" s="51" t="s">
        <v>99</v>
      </c>
      <c r="C167" s="71" t="s">
        <v>465</v>
      </c>
      <c r="D167" s="20" t="s">
        <v>278</v>
      </c>
      <c r="E167" s="21" t="s">
        <v>483</v>
      </c>
      <c r="F167" s="21" t="str">
        <f t="shared" si="302"/>
        <v>нд</v>
      </c>
      <c r="G167" s="46" t="str">
        <f t="shared" si="303"/>
        <v>нд</v>
      </c>
      <c r="H167" s="46" t="str">
        <f t="shared" si="304"/>
        <v>нд</v>
      </c>
      <c r="I167" s="22" t="s">
        <v>131</v>
      </c>
      <c r="J167" s="20" t="s">
        <v>131</v>
      </c>
      <c r="K167" s="20">
        <v>0</v>
      </c>
      <c r="L167" s="20">
        <f t="shared" si="176"/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20">
        <f t="shared" si="236"/>
        <v>0</v>
      </c>
      <c r="X167" s="20"/>
      <c r="Y167" s="20">
        <f t="shared" si="305"/>
        <v>0</v>
      </c>
      <c r="Z167" s="28"/>
      <c r="AA167" s="20">
        <f t="shared" si="306"/>
        <v>0</v>
      </c>
      <c r="AB167" s="20">
        <v>0</v>
      </c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>
        <f t="shared" si="234"/>
        <v>0</v>
      </c>
      <c r="AO167" s="20">
        <f t="shared" si="234"/>
        <v>0</v>
      </c>
      <c r="AP167" s="94" t="s">
        <v>499</v>
      </c>
      <c r="AQ167" s="86"/>
      <c r="AR167" s="85">
        <f t="shared" si="272"/>
        <v>0</v>
      </c>
      <c r="AS167" s="85">
        <f t="shared" si="273"/>
        <v>0</v>
      </c>
      <c r="AT167" s="113">
        <f t="shared" si="310"/>
        <v>0</v>
      </c>
      <c r="AV167" s="105">
        <f t="shared" si="309"/>
        <v>0</v>
      </c>
      <c r="AX167" s="31"/>
      <c r="AY167" s="15"/>
      <c r="AZ167" s="118"/>
      <c r="BA167" s="118"/>
      <c r="BB167" s="118"/>
      <c r="BC167" s="118"/>
      <c r="BE167" s="118">
        <f t="shared" si="265"/>
        <v>0</v>
      </c>
      <c r="BF167" s="118">
        <f t="shared" si="266"/>
        <v>0</v>
      </c>
      <c r="BG167" s="118">
        <f t="shared" si="267"/>
        <v>0</v>
      </c>
      <c r="BH167" s="118">
        <f t="shared" si="268"/>
        <v>0</v>
      </c>
      <c r="BI167" s="122">
        <f t="shared" si="269"/>
        <v>0</v>
      </c>
      <c r="BJ167" s="118">
        <f t="shared" si="307"/>
        <v>0</v>
      </c>
      <c r="BK167" s="44" t="s">
        <v>131</v>
      </c>
      <c r="BL167" s="8" t="b">
        <f t="shared" si="308"/>
        <v>1</v>
      </c>
      <c r="BM167" s="128">
        <f t="shared" si="240"/>
        <v>0</v>
      </c>
      <c r="BN167" s="129">
        <f t="shared" si="220"/>
        <v>0</v>
      </c>
      <c r="BR167" s="73">
        <f>K167/$BR$15</f>
        <v>0</v>
      </c>
      <c r="BS167" s="73">
        <f>AC167/$BS$15</f>
        <v>0</v>
      </c>
      <c r="BT167" s="73">
        <f>AE167/$BT$15</f>
        <v>0</v>
      </c>
      <c r="BU167" s="73">
        <f>AG167/$BU$15</f>
        <v>0</v>
      </c>
      <c r="BV167" s="73">
        <f>AI167/$BV$15</f>
        <v>0</v>
      </c>
      <c r="BW167" s="73">
        <f>AK167/$BW$15</f>
        <v>0</v>
      </c>
      <c r="BX167" s="73">
        <f>AM167/$BX$15</f>
        <v>0</v>
      </c>
      <c r="BY167" s="73">
        <f>(Q167-K167-AC167-AE167-AG167-AI167-AK167-AM167)/$BY$15</f>
        <v>0</v>
      </c>
      <c r="BZ167" s="74">
        <f>SUM(BR167:BY167)*1.2</f>
        <v>0</v>
      </c>
      <c r="CB167" s="75">
        <f t="shared" si="262"/>
        <v>0</v>
      </c>
      <c r="CJ167" s="70">
        <f t="shared" si="270"/>
        <v>0</v>
      </c>
      <c r="CK167" s="166"/>
      <c r="CL167" s="163"/>
      <c r="CM167" s="68"/>
      <c r="CN167" s="20"/>
      <c r="CQ167" s="177">
        <f t="shared" si="263"/>
        <v>0</v>
      </c>
      <c r="CR167" s="177">
        <f t="shared" si="264"/>
        <v>0</v>
      </c>
    </row>
    <row r="168" spans="1:96" s="8" customFormat="1" ht="49.5" x14ac:dyDescent="0.3">
      <c r="A168" s="44" t="s">
        <v>531</v>
      </c>
      <c r="B168" s="51" t="s">
        <v>99</v>
      </c>
      <c r="C168" s="71" t="s">
        <v>466</v>
      </c>
      <c r="D168" s="20" t="s">
        <v>279</v>
      </c>
      <c r="E168" s="21" t="s">
        <v>483</v>
      </c>
      <c r="F168" s="21" t="str">
        <f t="shared" si="302"/>
        <v>нд</v>
      </c>
      <c r="G168" s="46" t="str">
        <f t="shared" si="303"/>
        <v>нд</v>
      </c>
      <c r="H168" s="46" t="str">
        <f t="shared" si="304"/>
        <v>нд</v>
      </c>
      <c r="I168" s="22" t="s">
        <v>131</v>
      </c>
      <c r="J168" s="20" t="s">
        <v>131</v>
      </c>
      <c r="K168" s="20">
        <v>0</v>
      </c>
      <c r="L168" s="20">
        <f t="shared" si="176"/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20">
        <f t="shared" si="236"/>
        <v>0</v>
      </c>
      <c r="X168" s="20"/>
      <c r="Y168" s="20">
        <f t="shared" si="305"/>
        <v>0</v>
      </c>
      <c r="Z168" s="28"/>
      <c r="AA168" s="20">
        <f t="shared" si="306"/>
        <v>0</v>
      </c>
      <c r="AB168" s="20">
        <v>0</v>
      </c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>
        <f t="shared" si="234"/>
        <v>0</v>
      </c>
      <c r="AO168" s="20">
        <f t="shared" si="234"/>
        <v>0</v>
      </c>
      <c r="AP168" s="94" t="s">
        <v>499</v>
      </c>
      <c r="AQ168" s="86"/>
      <c r="AR168" s="85">
        <f t="shared" si="272"/>
        <v>0</v>
      </c>
      <c r="AS168" s="85">
        <f t="shared" si="273"/>
        <v>0</v>
      </c>
      <c r="AT168" s="113">
        <f t="shared" si="310"/>
        <v>0</v>
      </c>
      <c r="AV168" s="105">
        <f t="shared" si="309"/>
        <v>0</v>
      </c>
      <c r="AX168" s="31"/>
      <c r="AY168" s="15"/>
      <c r="AZ168" s="118"/>
      <c r="BA168" s="118"/>
      <c r="BB168" s="118"/>
      <c r="BC168" s="118"/>
      <c r="BE168" s="118">
        <f t="shared" si="265"/>
        <v>0</v>
      </c>
      <c r="BF168" s="118">
        <f t="shared" si="266"/>
        <v>0</v>
      </c>
      <c r="BG168" s="118">
        <f t="shared" si="267"/>
        <v>0</v>
      </c>
      <c r="BH168" s="118">
        <f t="shared" si="268"/>
        <v>0</v>
      </c>
      <c r="BI168" s="122">
        <f t="shared" si="269"/>
        <v>0</v>
      </c>
      <c r="BJ168" s="118">
        <f t="shared" si="307"/>
        <v>0</v>
      </c>
      <c r="BK168" s="44" t="s">
        <v>131</v>
      </c>
      <c r="BL168" s="8" t="b">
        <f t="shared" si="308"/>
        <v>1</v>
      </c>
      <c r="BM168" s="128">
        <f t="shared" si="240"/>
        <v>0</v>
      </c>
      <c r="BN168" s="129">
        <f t="shared" si="220"/>
        <v>0</v>
      </c>
      <c r="BR168" s="73">
        <f>K168/$BR$15</f>
        <v>0</v>
      </c>
      <c r="BS168" s="73">
        <f>AC168/$BS$15</f>
        <v>0</v>
      </c>
      <c r="BT168" s="73">
        <f>AE168/$BT$15</f>
        <v>0</v>
      </c>
      <c r="BU168" s="73">
        <f>AG168/$BU$15</f>
        <v>0</v>
      </c>
      <c r="BV168" s="73">
        <f>AI168/$BV$15</f>
        <v>0</v>
      </c>
      <c r="BW168" s="73">
        <f>AK168/$BW$15</f>
        <v>0</v>
      </c>
      <c r="BX168" s="73">
        <f>AM168/$BX$15</f>
        <v>0</v>
      </c>
      <c r="BY168" s="73">
        <f>(Q168-K168-AC168-AE168-AG168-AI168-AK168-AM168)/$BY$15</f>
        <v>0</v>
      </c>
      <c r="BZ168" s="74">
        <f>SUM(BR168:BY168)*1.2</f>
        <v>0</v>
      </c>
      <c r="CB168" s="75">
        <f t="shared" si="262"/>
        <v>0</v>
      </c>
      <c r="CJ168" s="70">
        <f t="shared" si="270"/>
        <v>0</v>
      </c>
      <c r="CK168" s="166"/>
      <c r="CL168" s="163"/>
      <c r="CM168" s="68"/>
      <c r="CN168" s="20"/>
      <c r="CQ168" s="177">
        <f t="shared" si="263"/>
        <v>0</v>
      </c>
      <c r="CR168" s="177">
        <f t="shared" si="264"/>
        <v>0</v>
      </c>
    </row>
    <row r="169" spans="1:96" ht="37.5" x14ac:dyDescent="0.3">
      <c r="B169" s="56" t="s">
        <v>101</v>
      </c>
      <c r="C169" s="57" t="s">
        <v>102</v>
      </c>
      <c r="D169" s="32" t="s">
        <v>129</v>
      </c>
      <c r="E169" s="32"/>
      <c r="F169" s="32"/>
      <c r="G169" s="33"/>
      <c r="H169" s="33"/>
      <c r="I169" s="34" t="s">
        <v>131</v>
      </c>
      <c r="J169" s="32">
        <f>SUM(J170:J187)</f>
        <v>138.87120000000002</v>
      </c>
      <c r="K169" s="32">
        <f>SUM(K170:K187)</f>
        <v>0</v>
      </c>
      <c r="L169" s="32">
        <f>M169+N169+O169+P169</f>
        <v>931.5204033651828</v>
      </c>
      <c r="M169" s="32">
        <f t="shared" ref="M169:AM169" si="311">SUM(M170:M187)</f>
        <v>83.837443419297855</v>
      </c>
      <c r="N169" s="32">
        <f t="shared" si="311"/>
        <v>204.93524432861338</v>
      </c>
      <c r="O169" s="32">
        <f t="shared" si="311"/>
        <v>605.49119183903531</v>
      </c>
      <c r="P169" s="32">
        <f t="shared" si="311"/>
        <v>37.256523778236236</v>
      </c>
      <c r="Q169" s="32">
        <f t="shared" si="311"/>
        <v>927.39400000000001</v>
      </c>
      <c r="R169" s="32">
        <f t="shared" si="311"/>
        <v>83.466082455229056</v>
      </c>
      <c r="S169" s="32">
        <f t="shared" si="311"/>
        <v>204.02772386624238</v>
      </c>
      <c r="T169" s="32">
        <f t="shared" si="311"/>
        <v>602.8089993248733</v>
      </c>
      <c r="U169" s="32">
        <f t="shared" si="311"/>
        <v>37.091194353655375</v>
      </c>
      <c r="V169" s="32">
        <f t="shared" si="311"/>
        <v>0</v>
      </c>
      <c r="W169" s="32">
        <f t="shared" si="311"/>
        <v>931.52040336518257</v>
      </c>
      <c r="X169" s="32">
        <f t="shared" si="311"/>
        <v>0</v>
      </c>
      <c r="Y169" s="32">
        <f t="shared" si="311"/>
        <v>540.50820336518279</v>
      </c>
      <c r="Z169" s="32">
        <f t="shared" si="311"/>
        <v>0</v>
      </c>
      <c r="AA169" s="32">
        <f t="shared" si="311"/>
        <v>501.73230000000007</v>
      </c>
      <c r="AB169" s="32">
        <f t="shared" si="311"/>
        <v>0</v>
      </c>
      <c r="AC169" s="32">
        <f t="shared" si="311"/>
        <v>0</v>
      </c>
      <c r="AD169" s="32">
        <f t="shared" si="311"/>
        <v>193.8</v>
      </c>
      <c r="AE169" s="32">
        <f t="shared" si="311"/>
        <v>264.03599999999994</v>
      </c>
      <c r="AF169" s="32">
        <f t="shared" si="311"/>
        <v>197.2122</v>
      </c>
      <c r="AG169" s="32">
        <f t="shared" si="311"/>
        <v>161.62570000000002</v>
      </c>
      <c r="AH169" s="32">
        <f t="shared" si="311"/>
        <v>140.55826242083694</v>
      </c>
      <c r="AI169" s="32">
        <f t="shared" si="311"/>
        <v>137.26929999999999</v>
      </c>
      <c r="AJ169" s="32">
        <f t="shared" si="311"/>
        <v>139.80996840366868</v>
      </c>
      <c r="AK169" s="32">
        <f t="shared" si="311"/>
        <v>166.35400000000001</v>
      </c>
      <c r="AL169" s="32">
        <f t="shared" si="311"/>
        <v>189.91897254067712</v>
      </c>
      <c r="AM169" s="32">
        <f t="shared" si="311"/>
        <v>198.12400000000002</v>
      </c>
      <c r="AN169" s="32">
        <f t="shared" si="234"/>
        <v>861.2994033651828</v>
      </c>
      <c r="AO169" s="32">
        <f t="shared" si="234"/>
        <v>927.40900000000011</v>
      </c>
      <c r="AP169" s="99" t="s">
        <v>131</v>
      </c>
      <c r="AQ169" s="86"/>
      <c r="AR169" s="85">
        <f t="shared" si="272"/>
        <v>70.221000000000004</v>
      </c>
      <c r="AS169" s="85">
        <f t="shared" si="273"/>
        <v>-1.5000000000100044E-2</v>
      </c>
      <c r="AT169" s="113"/>
      <c r="AV169" s="105">
        <f t="shared" si="309"/>
        <v>-1.5000000000014779E-2</v>
      </c>
      <c r="AX169" s="31"/>
      <c r="AY169" s="15"/>
      <c r="AZ169" s="118">
        <v>161.62570000000002</v>
      </c>
      <c r="BA169" s="118">
        <v>141.77802999999997</v>
      </c>
      <c r="BB169" s="118">
        <v>188.774</v>
      </c>
      <c r="BC169" s="118">
        <v>200.19351066608618</v>
      </c>
      <c r="BD169" s="8"/>
      <c r="BE169" s="118">
        <f t="shared" si="265"/>
        <v>0</v>
      </c>
      <c r="BF169" s="118">
        <f t="shared" si="266"/>
        <v>-4.5087299999999857</v>
      </c>
      <c r="BG169" s="118">
        <f t="shared" si="267"/>
        <v>-22.419999999999987</v>
      </c>
      <c r="BH169" s="118">
        <f t="shared" si="268"/>
        <v>-2.0695106660861597</v>
      </c>
      <c r="BI169" s="122">
        <f t="shared" si="269"/>
        <v>-28.998240666086133</v>
      </c>
      <c r="BJ169" s="123"/>
      <c r="BK169" s="108"/>
      <c r="BM169" s="128">
        <f t="shared" si="240"/>
        <v>927.40900000000011</v>
      </c>
      <c r="BN169" s="129">
        <f t="shared" si="220"/>
        <v>1.5000000000100044E-2</v>
      </c>
      <c r="CB169" s="75">
        <f t="shared" si="262"/>
        <v>940.73056139744347</v>
      </c>
      <c r="CJ169" s="70">
        <f t="shared" si="270"/>
        <v>-9.2370555648813024E-14</v>
      </c>
      <c r="CL169" s="163"/>
      <c r="CM169" s="68"/>
      <c r="CN169" s="32">
        <f>SUM(CN170:CN187)</f>
        <v>193.64999999999998</v>
      </c>
      <c r="CQ169" s="177">
        <f t="shared" si="263"/>
        <v>895.94890336518279</v>
      </c>
      <c r="CR169" s="177">
        <f t="shared" si="264"/>
        <v>34.649499999999989</v>
      </c>
    </row>
    <row r="170" spans="1:96" ht="56.25" x14ac:dyDescent="0.3">
      <c r="B170" s="51" t="s">
        <v>101</v>
      </c>
      <c r="C170" s="76" t="s">
        <v>384</v>
      </c>
      <c r="D170" s="20" t="s">
        <v>280</v>
      </c>
      <c r="E170" s="21" t="s">
        <v>487</v>
      </c>
      <c r="F170" s="21">
        <f t="shared" ref="F170:F187" si="312">IF(K170&gt;0,2018,IF(AC170&gt;0,2019,IF(AE170&gt;0,2020,IF(AG170&gt;0,2021,IF(AI170&gt;0,2022,IF(AK170&gt;0,2023,IF(AM170&gt;0,2024,"нд")))))))</f>
        <v>2020</v>
      </c>
      <c r="G170" s="46">
        <f t="shared" ref="G170:G187" si="313">IF(AND(L170-(K170+AB170+AD170+AF170+AH170+AJ170+AL170)&lt;0.1,L170-(K170+AB170+AD170+AF170+AH170+AJ170+AL170)&gt;0.00001),"Ошибка в -",IF((K170+AB170+AD170+AF170+AH170+AJ170+AL170)&gt;L170,"Ошибка в +",IF(L170&gt;(K170+AB170+AD170+AF170+AH170+AJ170+AL170),2025,IF(AL170&gt;0,2024,IF(AJ170&gt;0,2023,IF(AH170&gt;0,2022,IF(AF170&gt;0,2021,IF(AD170&gt;0,2020,IF(AB170&gt;0,2019,IF(K170&gt;0,2018,"нд"))))))))))</f>
        <v>2025</v>
      </c>
      <c r="H170" s="46">
        <f t="shared" ref="H170:H187" si="314">IF(AND((Q170-(K170+AC170+AE170+AG170+AI170+AK170+AM170))&lt;0.1,Q170-(K170+AC170+AE170+AG170+AI170+AK170+AM170)&gt;0.0001),"Ошибка в -",IF((K170+AC170+AE170+AG170+AI170+AK170+AM170)&gt;Q170,"Ошибка в +",IF(Q170&gt;(K170+AC170+AE170+AG170+AI170+AK170+AM170),2025,IF(AM170&gt;0,2024,IF(AK170&gt;0,2023,IF(AI170&gt;0,2022,IF(AG170&gt;0,2021,IF(AE170&gt;0,2020,IF(AC170&gt;0,2019,IF(K170&gt;0,2018,"нд"))))))))))</f>
        <v>2021</v>
      </c>
      <c r="I170" s="22" t="s">
        <v>131</v>
      </c>
      <c r="J170" s="20">
        <f t="shared" ref="J170:J172" si="315">Q170</f>
        <v>47.268900000000002</v>
      </c>
      <c r="K170" s="20">
        <v>0</v>
      </c>
      <c r="L170" s="20">
        <f t="shared" si="176"/>
        <v>69.976924604104184</v>
      </c>
      <c r="M170" s="20">
        <v>6.2975566511184384</v>
      </c>
      <c r="N170" s="20">
        <v>15.39474013127745</v>
      </c>
      <c r="O170" s="20">
        <v>45.485000992667722</v>
      </c>
      <c r="P170" s="20">
        <v>2.7996268290405752</v>
      </c>
      <c r="Q170" s="20">
        <v>47.268900000000002</v>
      </c>
      <c r="R170" s="20">
        <f t="shared" ref="R170:R187" si="316">M170/L170*Q170</f>
        <v>4.25395338920901</v>
      </c>
      <c r="S170" s="20">
        <f t="shared" ref="S170:S187" si="317">N170/L170*Q170</f>
        <v>10.399034194604504</v>
      </c>
      <c r="T170" s="20">
        <f t="shared" ref="T170:T187" si="318">O170/L170*Q170</f>
        <v>30.724785000000001</v>
      </c>
      <c r="U170" s="20">
        <f t="shared" ref="U170:U187" si="319">P170/L170*Q170</f>
        <v>1.8911274161864855</v>
      </c>
      <c r="V170" s="20">
        <v>0</v>
      </c>
      <c r="W170" s="20">
        <f t="shared" ref="W170:W187" si="320">L170-K170</f>
        <v>69.976924604104184</v>
      </c>
      <c r="X170" s="20"/>
      <c r="Y170" s="20">
        <f t="shared" ref="Y170:Y187" si="321">W170-(AB170+AD170+AF170)</f>
        <v>38.108824604104186</v>
      </c>
      <c r="Z170" s="28"/>
      <c r="AA170" s="20">
        <f t="shared" ref="AA170:AA187" si="322">Q170-(K170+AC170+AE170+AG170)</f>
        <v>0</v>
      </c>
      <c r="AB170" s="20">
        <v>0</v>
      </c>
      <c r="AC170" s="20">
        <v>0</v>
      </c>
      <c r="AD170" s="174">
        <v>18.3</v>
      </c>
      <c r="AE170" s="20">
        <v>36.821899999999999</v>
      </c>
      <c r="AF170" s="20">
        <v>13.568100000000001</v>
      </c>
      <c r="AG170" s="20">
        <v>10.447000000000001</v>
      </c>
      <c r="AH170" s="20">
        <v>0</v>
      </c>
      <c r="AI170" s="20">
        <f>6.6-6.6</f>
        <v>0</v>
      </c>
      <c r="AJ170" s="20">
        <v>3.3911821192663907</v>
      </c>
      <c r="AK170" s="20"/>
      <c r="AL170" s="20">
        <v>16.195742484837833</v>
      </c>
      <c r="AM170" s="20"/>
      <c r="AN170" s="20">
        <f t="shared" si="234"/>
        <v>51.455024604104224</v>
      </c>
      <c r="AO170" s="20">
        <f t="shared" si="234"/>
        <v>47.268900000000002</v>
      </c>
      <c r="AP170" s="94" t="s">
        <v>547</v>
      </c>
      <c r="AQ170" s="130"/>
      <c r="AR170" s="85">
        <f t="shared" si="272"/>
        <v>18.52189999999996</v>
      </c>
      <c r="AS170" s="85">
        <f t="shared" si="273"/>
        <v>0</v>
      </c>
      <c r="AT170" s="113">
        <f t="shared" si="310"/>
        <v>-22.708024604104182</v>
      </c>
      <c r="AV170" s="105">
        <f t="shared" si="309"/>
        <v>1.7763568394002505E-15</v>
      </c>
      <c r="AX170" s="31">
        <f t="shared" ref="AX170:AX172" si="323">J170-Q170</f>
        <v>0</v>
      </c>
      <c r="AY170" s="15"/>
      <c r="AZ170" s="118">
        <v>10.447000000000001</v>
      </c>
      <c r="BA170" s="118">
        <v>0</v>
      </c>
      <c r="BB170" s="118"/>
      <c r="BC170" s="118"/>
      <c r="BD170" s="8"/>
      <c r="BE170" s="118">
        <f t="shared" si="265"/>
        <v>0</v>
      </c>
      <c r="BF170" s="118">
        <f t="shared" si="266"/>
        <v>0</v>
      </c>
      <c r="BG170" s="118">
        <f t="shared" si="267"/>
        <v>0</v>
      </c>
      <c r="BH170" s="118">
        <f t="shared" si="268"/>
        <v>0</v>
      </c>
      <c r="BI170" s="122">
        <f t="shared" si="269"/>
        <v>0</v>
      </c>
      <c r="BJ170" s="118">
        <f t="shared" ref="BJ170:BJ187" si="324">(AO170+AC170+K170)-Q170</f>
        <v>0</v>
      </c>
      <c r="BK170" s="108">
        <v>2021</v>
      </c>
      <c r="BL170" s="8" t="b">
        <f t="shared" ref="BL170:BL187" si="325">EXACT(BK170,H170)</f>
        <v>1</v>
      </c>
      <c r="BM170" s="128">
        <f t="shared" si="240"/>
        <v>47.268900000000002</v>
      </c>
      <c r="BN170" s="129">
        <f t="shared" si="220"/>
        <v>0</v>
      </c>
      <c r="BR170" s="73">
        <f t="shared" ref="BR170:BR187" si="326">K170/$BR$15</f>
        <v>0</v>
      </c>
      <c r="BS170" s="73">
        <f t="shared" ref="BS170:BS187" si="327">AC170/$BS$15</f>
        <v>0</v>
      </c>
      <c r="BT170" s="73">
        <f t="shared" ref="BT170:BT187" si="328">AE170/$BT$15</f>
        <v>33.604682568785151</v>
      </c>
      <c r="BU170" s="73">
        <f t="shared" ref="BU170:BU187" si="329">AG170/$BU$15</f>
        <v>9.1466135249800278</v>
      </c>
      <c r="BV170" s="73">
        <f t="shared" ref="BV170:BV187" si="330">AI170/$BV$15</f>
        <v>0</v>
      </c>
      <c r="BW170" s="73">
        <f t="shared" ref="BW170:BW187" si="331">AK170/$BW$15</f>
        <v>0</v>
      </c>
      <c r="BX170" s="73">
        <f t="shared" ref="BX170:BX187" si="332">AM170/$BX$15</f>
        <v>0</v>
      </c>
      <c r="BY170" s="73">
        <f t="shared" ref="BY170:BY187" si="333">(Q170-K170-AC170-AE170-AG170-AI170-AK170-AM170)/$BY$15</f>
        <v>1.3095460176050316E-15</v>
      </c>
      <c r="BZ170" s="74">
        <f t="shared" ref="BZ170:BZ187" si="334">SUM(BR170:BY170)*1.2</f>
        <v>51.301555312518211</v>
      </c>
      <c r="CB170" s="75">
        <f t="shared" si="262"/>
        <v>51.301555312518211</v>
      </c>
      <c r="CE170" s="8"/>
      <c r="CJ170" s="70">
        <f t="shared" si="270"/>
        <v>3.3306690738754696E-15</v>
      </c>
      <c r="CL170" s="163"/>
      <c r="CM170" s="68"/>
      <c r="CN170" s="20">
        <v>18.3</v>
      </c>
      <c r="CQ170" s="177">
        <f t="shared" si="263"/>
        <v>66.855824604104228</v>
      </c>
      <c r="CR170" s="177">
        <f t="shared" si="264"/>
        <v>15.400800000000004</v>
      </c>
    </row>
    <row r="171" spans="1:96" ht="37.5" x14ac:dyDescent="0.3">
      <c r="B171" s="51" t="s">
        <v>101</v>
      </c>
      <c r="C171" s="76" t="s">
        <v>385</v>
      </c>
      <c r="D171" s="20" t="s">
        <v>281</v>
      </c>
      <c r="E171" s="27" t="s">
        <v>487</v>
      </c>
      <c r="F171" s="21">
        <f t="shared" si="312"/>
        <v>2020</v>
      </c>
      <c r="G171" s="46" t="str">
        <f t="shared" si="313"/>
        <v>Ошибка в +</v>
      </c>
      <c r="H171" s="46">
        <f t="shared" si="314"/>
        <v>2020</v>
      </c>
      <c r="I171" s="22" t="s">
        <v>131</v>
      </c>
      <c r="J171" s="20">
        <f t="shared" si="315"/>
        <v>3.8351999999999999</v>
      </c>
      <c r="K171" s="20">
        <v>0</v>
      </c>
      <c r="L171" s="20">
        <f t="shared" ref="L171:L234" si="335">M171+N171+O171+P171</f>
        <v>11.752489983308875</v>
      </c>
      <c r="M171" s="20">
        <v>1.0576939561792984</v>
      </c>
      <c r="N171" s="20">
        <v>2.5856080809649531</v>
      </c>
      <c r="O171" s="20">
        <v>7.6392692007432705</v>
      </c>
      <c r="P171" s="20">
        <v>0.46991874542135254</v>
      </c>
      <c r="Q171" s="20">
        <v>3.8351999999999999</v>
      </c>
      <c r="R171" s="20">
        <f t="shared" si="316"/>
        <v>0.34515816363170043</v>
      </c>
      <c r="S171" s="20">
        <f t="shared" si="317"/>
        <v>0.84376367273659914</v>
      </c>
      <c r="T171" s="20">
        <f t="shared" si="318"/>
        <v>2.4929291818414976</v>
      </c>
      <c r="U171" s="20">
        <f t="shared" si="319"/>
        <v>0.15334898179020262</v>
      </c>
      <c r="V171" s="20">
        <v>0</v>
      </c>
      <c r="W171" s="20">
        <f t="shared" si="320"/>
        <v>11.752489983308875</v>
      </c>
      <c r="X171" s="20"/>
      <c r="Y171" s="20">
        <f t="shared" si="321"/>
        <v>7.8524899833088746</v>
      </c>
      <c r="Z171" s="28"/>
      <c r="AA171" s="20">
        <f t="shared" si="322"/>
        <v>0</v>
      </c>
      <c r="AB171" s="20">
        <v>0</v>
      </c>
      <c r="AC171" s="20">
        <v>0</v>
      </c>
      <c r="AD171" s="174">
        <v>3.9</v>
      </c>
      <c r="AE171" s="20">
        <v>3.8351999999999999</v>
      </c>
      <c r="AF171" s="20">
        <v>0</v>
      </c>
      <c r="AG171" s="20"/>
      <c r="AH171" s="20">
        <v>0</v>
      </c>
      <c r="AI171" s="20"/>
      <c r="AJ171" s="20">
        <v>2.8972975805316743</v>
      </c>
      <c r="AK171" s="20"/>
      <c r="AL171" s="20">
        <v>5.0199924027771985</v>
      </c>
      <c r="AM171" s="20"/>
      <c r="AN171" s="20">
        <f t="shared" si="234"/>
        <v>11.817289983308873</v>
      </c>
      <c r="AO171" s="20">
        <f t="shared" si="234"/>
        <v>3.8351999999999999</v>
      </c>
      <c r="AP171" s="94" t="s">
        <v>547</v>
      </c>
      <c r="AQ171" s="86"/>
      <c r="AR171" s="85">
        <f t="shared" si="272"/>
        <v>-6.4799999999998192E-2</v>
      </c>
      <c r="AS171" s="85">
        <f t="shared" si="273"/>
        <v>0</v>
      </c>
      <c r="AT171" s="113">
        <f t="shared" si="310"/>
        <v>-7.9172899833088746</v>
      </c>
      <c r="AV171" s="105">
        <f t="shared" si="309"/>
        <v>0</v>
      </c>
      <c r="AX171" s="31">
        <f t="shared" si="323"/>
        <v>0</v>
      </c>
      <c r="AY171" s="15"/>
      <c r="AZ171" s="118"/>
      <c r="BA171" s="118"/>
      <c r="BB171" s="118"/>
      <c r="BC171" s="118"/>
      <c r="BD171" s="8"/>
      <c r="BE171" s="118">
        <f t="shared" si="265"/>
        <v>0</v>
      </c>
      <c r="BF171" s="118">
        <f t="shared" si="266"/>
        <v>0</v>
      </c>
      <c r="BG171" s="118">
        <f t="shared" si="267"/>
        <v>0</v>
      </c>
      <c r="BH171" s="118">
        <f t="shared" si="268"/>
        <v>0</v>
      </c>
      <c r="BI171" s="122">
        <f t="shared" si="269"/>
        <v>0</v>
      </c>
      <c r="BJ171" s="118">
        <f t="shared" si="324"/>
        <v>0</v>
      </c>
      <c r="BK171" s="108">
        <v>2020</v>
      </c>
      <c r="BL171" s="8" t="b">
        <f t="shared" si="325"/>
        <v>1</v>
      </c>
      <c r="BM171" s="128">
        <f t="shared" si="240"/>
        <v>3.8351999999999999</v>
      </c>
      <c r="BN171" s="129">
        <f t="shared" si="220"/>
        <v>0</v>
      </c>
      <c r="BR171" s="73">
        <f t="shared" si="326"/>
        <v>0</v>
      </c>
      <c r="BS171" s="73">
        <f t="shared" si="327"/>
        <v>0</v>
      </c>
      <c r="BT171" s="73">
        <f t="shared" si="328"/>
        <v>3.5001094073854095</v>
      </c>
      <c r="BU171" s="73">
        <f t="shared" si="329"/>
        <v>0</v>
      </c>
      <c r="BV171" s="73">
        <f t="shared" si="330"/>
        <v>0</v>
      </c>
      <c r="BW171" s="73">
        <f t="shared" si="331"/>
        <v>0</v>
      </c>
      <c r="BX171" s="73">
        <f t="shared" si="332"/>
        <v>0</v>
      </c>
      <c r="BY171" s="73">
        <f t="shared" si="333"/>
        <v>0</v>
      </c>
      <c r="BZ171" s="74">
        <f t="shared" si="334"/>
        <v>4.2001312888624911</v>
      </c>
      <c r="CB171" s="75">
        <f t="shared" si="262"/>
        <v>4.2001312888624911</v>
      </c>
      <c r="CE171" s="8"/>
      <c r="CJ171" s="70">
        <f t="shared" si="270"/>
        <v>5.5511151231257827E-16</v>
      </c>
      <c r="CL171" s="163"/>
      <c r="CM171" s="68"/>
      <c r="CN171" s="20">
        <v>3.86</v>
      </c>
      <c r="CQ171" s="177">
        <f t="shared" si="263"/>
        <v>11.752489983308873</v>
      </c>
      <c r="CR171" s="177">
        <f t="shared" si="264"/>
        <v>-6.4799999999999969E-2</v>
      </c>
    </row>
    <row r="172" spans="1:96" ht="56.25" x14ac:dyDescent="0.3">
      <c r="B172" s="51" t="s">
        <v>101</v>
      </c>
      <c r="C172" s="76" t="s">
        <v>386</v>
      </c>
      <c r="D172" s="20" t="s">
        <v>282</v>
      </c>
      <c r="E172" s="21" t="s">
        <v>487</v>
      </c>
      <c r="F172" s="21">
        <f t="shared" si="312"/>
        <v>2020</v>
      </c>
      <c r="G172" s="46">
        <f t="shared" si="313"/>
        <v>2025</v>
      </c>
      <c r="H172" s="46" t="str">
        <f t="shared" si="314"/>
        <v>Ошибка в +</v>
      </c>
      <c r="I172" s="22" t="s">
        <v>131</v>
      </c>
      <c r="J172" s="20">
        <f t="shared" si="315"/>
        <v>25.971000000000004</v>
      </c>
      <c r="K172" s="20">
        <v>0</v>
      </c>
      <c r="L172" s="20">
        <f t="shared" si="335"/>
        <v>52.506816220638825</v>
      </c>
      <c r="M172" s="20">
        <v>4.7260818525088828</v>
      </c>
      <c r="N172" s="20">
        <v>11.551733764866237</v>
      </c>
      <c r="O172" s="20">
        <v>34.129430543415239</v>
      </c>
      <c r="P172" s="20">
        <v>2.0995700598484706</v>
      </c>
      <c r="Q172" s="20">
        <v>25.971000000000004</v>
      </c>
      <c r="R172" s="20">
        <f t="shared" si="316"/>
        <v>2.3376216770740412</v>
      </c>
      <c r="S172" s="20">
        <f t="shared" si="317"/>
        <v>5.7137358385370218</v>
      </c>
      <c r="T172" s="20">
        <f t="shared" si="318"/>
        <v>16.881150000000002</v>
      </c>
      <c r="U172" s="20">
        <f t="shared" si="319"/>
        <v>1.0384924843889387</v>
      </c>
      <c r="V172" s="20">
        <v>0</v>
      </c>
      <c r="W172" s="20">
        <f t="shared" si="320"/>
        <v>52.506816220638825</v>
      </c>
      <c r="X172" s="20"/>
      <c r="Y172" s="20">
        <f t="shared" si="321"/>
        <v>19.906816220638824</v>
      </c>
      <c r="Z172" s="28"/>
      <c r="AA172" s="20">
        <f t="shared" si="322"/>
        <v>-4.1100000000000136E-2</v>
      </c>
      <c r="AB172" s="20">
        <v>0</v>
      </c>
      <c r="AC172" s="20">
        <v>0</v>
      </c>
      <c r="AD172" s="174">
        <v>11.9</v>
      </c>
      <c r="AE172" s="20">
        <v>13</v>
      </c>
      <c r="AF172" s="20">
        <v>20.7</v>
      </c>
      <c r="AG172" s="20">
        <v>13.012100000000004</v>
      </c>
      <c r="AH172" s="20">
        <v>0</v>
      </c>
      <c r="AI172" s="20"/>
      <c r="AJ172" s="20">
        <v>12.896287900476645</v>
      </c>
      <c r="AK172" s="20"/>
      <c r="AL172" s="20">
        <v>5.9516283201621816</v>
      </c>
      <c r="AM172" s="20"/>
      <c r="AN172" s="20">
        <f>SUM(AE172+AF172+AH172+AJ172+AL172)</f>
        <v>52.547916220638825</v>
      </c>
      <c r="AO172" s="20">
        <f t="shared" si="234"/>
        <v>26.012100000000004</v>
      </c>
      <c r="AP172" s="94" t="s">
        <v>547</v>
      </c>
      <c r="AQ172" s="86"/>
      <c r="AR172" s="85">
        <f t="shared" si="272"/>
        <v>1.0589000000000013</v>
      </c>
      <c r="AS172" s="85">
        <f t="shared" si="273"/>
        <v>-4.1100000000000136E-2</v>
      </c>
      <c r="AT172" s="113">
        <f t="shared" si="310"/>
        <v>-26.535816220638822</v>
      </c>
      <c r="AV172" s="105">
        <f t="shared" si="309"/>
        <v>-4.1100000000000136E-2</v>
      </c>
      <c r="AX172" s="31">
        <f t="shared" si="323"/>
        <v>0</v>
      </c>
      <c r="AY172" s="15"/>
      <c r="AZ172" s="118">
        <v>13.012100000000004</v>
      </c>
      <c r="BA172" s="118"/>
      <c r="BB172" s="118"/>
      <c r="BC172" s="118"/>
      <c r="BD172" s="8"/>
      <c r="BE172" s="118">
        <f t="shared" si="265"/>
        <v>0</v>
      </c>
      <c r="BF172" s="118">
        <f t="shared" si="266"/>
        <v>0</v>
      </c>
      <c r="BG172" s="118">
        <f t="shared" si="267"/>
        <v>0</v>
      </c>
      <c r="BH172" s="118">
        <f t="shared" si="268"/>
        <v>0</v>
      </c>
      <c r="BI172" s="122">
        <f t="shared" si="269"/>
        <v>0</v>
      </c>
      <c r="BJ172" s="118">
        <f t="shared" si="324"/>
        <v>4.1100000000000136E-2</v>
      </c>
      <c r="BK172" s="108">
        <v>2021</v>
      </c>
      <c r="BL172" s="8" t="b">
        <f t="shared" si="325"/>
        <v>0</v>
      </c>
      <c r="BM172" s="128">
        <f t="shared" si="240"/>
        <v>26.012100000000004</v>
      </c>
      <c r="BN172" s="129">
        <f t="shared" si="220"/>
        <v>4.1100000000000136E-2</v>
      </c>
      <c r="BR172" s="73">
        <f t="shared" si="326"/>
        <v>0</v>
      </c>
      <c r="BS172" s="73">
        <f t="shared" si="327"/>
        <v>0</v>
      </c>
      <c r="BT172" s="73">
        <f t="shared" si="328"/>
        <v>11.86415892157132</v>
      </c>
      <c r="BU172" s="73">
        <f t="shared" si="329"/>
        <v>11.392423647783348</v>
      </c>
      <c r="BV172" s="73">
        <f t="shared" si="330"/>
        <v>0</v>
      </c>
      <c r="BW172" s="73">
        <f t="shared" si="331"/>
        <v>0</v>
      </c>
      <c r="BX172" s="73">
        <f t="shared" si="332"/>
        <v>0</v>
      </c>
      <c r="BY172" s="73">
        <f t="shared" si="333"/>
        <v>-3.0299284541127985E-2</v>
      </c>
      <c r="BZ172" s="74">
        <f t="shared" si="334"/>
        <v>27.871539941776248</v>
      </c>
      <c r="CB172" s="75">
        <f t="shared" si="262"/>
        <v>27.871539941776248</v>
      </c>
      <c r="CE172" s="8"/>
      <c r="CJ172" s="70">
        <f t="shared" si="270"/>
        <v>0</v>
      </c>
      <c r="CL172" s="163"/>
      <c r="CM172" s="68"/>
      <c r="CN172" s="20">
        <v>11.92</v>
      </c>
      <c r="CQ172" s="177">
        <f t="shared" si="263"/>
        <v>44.860016220638826</v>
      </c>
      <c r="CR172" s="177">
        <f t="shared" si="264"/>
        <v>-7.6878999999999991</v>
      </c>
    </row>
    <row r="173" spans="1:96" ht="37.5" x14ac:dyDescent="0.3">
      <c r="B173" s="51" t="s">
        <v>101</v>
      </c>
      <c r="C173" s="76" t="s">
        <v>388</v>
      </c>
      <c r="D173" s="20" t="s">
        <v>284</v>
      </c>
      <c r="E173" s="27" t="s">
        <v>488</v>
      </c>
      <c r="F173" s="21">
        <f t="shared" si="312"/>
        <v>2020</v>
      </c>
      <c r="G173" s="46" t="str">
        <f t="shared" si="313"/>
        <v>Ошибка в +</v>
      </c>
      <c r="H173" s="46" t="str">
        <f t="shared" si="314"/>
        <v>Ошибка в -</v>
      </c>
      <c r="I173" s="22" t="s">
        <v>131</v>
      </c>
      <c r="J173" s="20" t="s">
        <v>131</v>
      </c>
      <c r="K173" s="20">
        <v>0</v>
      </c>
      <c r="L173" s="20">
        <f t="shared" si="335"/>
        <v>88.760306676930313</v>
      </c>
      <c r="M173" s="20">
        <v>7.9884276009237292</v>
      </c>
      <c r="N173" s="20">
        <v>19.52726746892467</v>
      </c>
      <c r="O173" s="20">
        <v>57.694199340004708</v>
      </c>
      <c r="P173" s="20">
        <v>3.5504122670772125</v>
      </c>
      <c r="Q173" s="20">
        <v>118.9157</v>
      </c>
      <c r="R173" s="20">
        <f t="shared" si="316"/>
        <v>10.702413000000002</v>
      </c>
      <c r="S173" s="20">
        <f t="shared" si="317"/>
        <v>26.161453999999999</v>
      </c>
      <c r="T173" s="20">
        <f t="shared" si="318"/>
        <v>77.29520500000001</v>
      </c>
      <c r="U173" s="20">
        <f t="shared" si="319"/>
        <v>4.7566280000000001</v>
      </c>
      <c r="V173" s="20">
        <v>0</v>
      </c>
      <c r="W173" s="20">
        <f t="shared" si="320"/>
        <v>88.760306676930313</v>
      </c>
      <c r="X173" s="20"/>
      <c r="Y173" s="20">
        <f t="shared" si="321"/>
        <v>57.590306676930311</v>
      </c>
      <c r="Z173" s="28"/>
      <c r="AA173" s="20">
        <f t="shared" si="322"/>
        <v>92.574100000000001</v>
      </c>
      <c r="AB173" s="20">
        <v>0</v>
      </c>
      <c r="AC173" s="20">
        <v>0</v>
      </c>
      <c r="AD173" s="174">
        <v>24.3</v>
      </c>
      <c r="AE173" s="20">
        <v>12</v>
      </c>
      <c r="AF173" s="20">
        <v>6.87</v>
      </c>
      <c r="AG173" s="20">
        <v>14.3416</v>
      </c>
      <c r="AH173" s="20">
        <v>21.335673587795213</v>
      </c>
      <c r="AI173" s="20">
        <v>22.900000000000002</v>
      </c>
      <c r="AJ173" s="20">
        <v>31.429913134668254</v>
      </c>
      <c r="AK173" s="20">
        <v>34.823999999999998</v>
      </c>
      <c r="AL173" s="20">
        <v>17.098619954466837</v>
      </c>
      <c r="AM173" s="20">
        <v>34.823999999999998</v>
      </c>
      <c r="AN173" s="20">
        <f t="shared" ref="AN173:AN187" si="336">SUM(AE173+AF173+AH173+AJ173+AL173)</f>
        <v>88.734206676930313</v>
      </c>
      <c r="AO173" s="20">
        <f t="shared" ref="AN173:AO202" si="337">SUM(AE173+AG173+AI173+AK173+AM173)</f>
        <v>118.8896</v>
      </c>
      <c r="AP173" s="94" t="s">
        <v>547</v>
      </c>
      <c r="AQ173" s="130"/>
      <c r="AR173" s="85">
        <f t="shared" si="272"/>
        <v>-12.273899999999998</v>
      </c>
      <c r="AS173" s="85">
        <f t="shared" si="273"/>
        <v>2.6099999999999568E-2</v>
      </c>
      <c r="AT173" s="113">
        <f t="shared" si="310"/>
        <v>30.155393323069688</v>
      </c>
      <c r="AV173" s="105">
        <f t="shared" si="309"/>
        <v>2.6099999999999568E-2</v>
      </c>
      <c r="AX173" s="31"/>
      <c r="AY173" s="15"/>
      <c r="AZ173" s="118">
        <v>14.3416</v>
      </c>
      <c r="BA173" s="118">
        <v>20.6</v>
      </c>
      <c r="BB173" s="118">
        <v>34.823999999999998</v>
      </c>
      <c r="BC173" s="118">
        <v>34.823999999999998</v>
      </c>
      <c r="BD173" s="8"/>
      <c r="BE173" s="118">
        <f t="shared" si="265"/>
        <v>0</v>
      </c>
      <c r="BF173" s="118">
        <f t="shared" si="266"/>
        <v>2.3000000000000007</v>
      </c>
      <c r="BG173" s="118">
        <f t="shared" si="267"/>
        <v>0</v>
      </c>
      <c r="BH173" s="118">
        <f t="shared" si="268"/>
        <v>0</v>
      </c>
      <c r="BI173" s="122">
        <f t="shared" si="269"/>
        <v>2.3000000000000007</v>
      </c>
      <c r="BJ173" s="118">
        <f t="shared" si="324"/>
        <v>-2.6099999999999568E-2</v>
      </c>
      <c r="BK173" s="108">
        <v>2024</v>
      </c>
      <c r="BL173" s="8" t="b">
        <f t="shared" si="325"/>
        <v>0</v>
      </c>
      <c r="BM173" s="128">
        <f t="shared" si="240"/>
        <v>118.8896</v>
      </c>
      <c r="BN173" s="129">
        <f t="shared" si="220"/>
        <v>-2.6099999999999568E-2</v>
      </c>
      <c r="BR173" s="73">
        <f t="shared" si="326"/>
        <v>0</v>
      </c>
      <c r="BS173" s="73">
        <f t="shared" si="327"/>
        <v>0</v>
      </c>
      <c r="BT173" s="73">
        <f t="shared" si="328"/>
        <v>10.95153131221968</v>
      </c>
      <c r="BU173" s="73">
        <f t="shared" si="329"/>
        <v>12.55643462523725</v>
      </c>
      <c r="BV173" s="73">
        <f t="shared" si="330"/>
        <v>19.219248791121686</v>
      </c>
      <c r="BW173" s="73">
        <f t="shared" si="331"/>
        <v>27.997567438383186</v>
      </c>
      <c r="BX173" s="73">
        <f t="shared" si="332"/>
        <v>26.809872749118835</v>
      </c>
      <c r="BY173" s="73">
        <f t="shared" si="333"/>
        <v>1.9241151496920308E-2</v>
      </c>
      <c r="BZ173" s="74">
        <f t="shared" si="334"/>
        <v>117.06467528109306</v>
      </c>
      <c r="CB173" s="75">
        <f t="shared" si="262"/>
        <v>117.06467528109306</v>
      </c>
      <c r="CE173" s="8"/>
      <c r="CJ173" s="70">
        <f t="shared" si="270"/>
        <v>-2.2204460492503131E-14</v>
      </c>
      <c r="CL173" s="163"/>
      <c r="CM173" s="68"/>
      <c r="CN173" s="20">
        <v>24.3</v>
      </c>
      <c r="CQ173" s="177">
        <f t="shared" si="263"/>
        <v>96.205806676930308</v>
      </c>
      <c r="CR173" s="177">
        <f t="shared" si="264"/>
        <v>7.4715999999999951</v>
      </c>
    </row>
    <row r="174" spans="1:96" ht="56.25" x14ac:dyDescent="0.3">
      <c r="B174" s="51" t="s">
        <v>101</v>
      </c>
      <c r="C174" s="76" t="s">
        <v>389</v>
      </c>
      <c r="D174" s="20" t="s">
        <v>285</v>
      </c>
      <c r="E174" s="21" t="s">
        <v>487</v>
      </c>
      <c r="F174" s="21">
        <f t="shared" si="312"/>
        <v>2020</v>
      </c>
      <c r="G174" s="46">
        <f t="shared" si="313"/>
        <v>2025</v>
      </c>
      <c r="H174" s="46">
        <f t="shared" si="314"/>
        <v>2021</v>
      </c>
      <c r="I174" s="22" t="s">
        <v>131</v>
      </c>
      <c r="J174" s="20">
        <f t="shared" ref="J174:J176" si="338">Q174</f>
        <v>44.525500000000008</v>
      </c>
      <c r="K174" s="20">
        <v>0</v>
      </c>
      <c r="L174" s="20">
        <f t="shared" si="335"/>
        <v>62.820542404737772</v>
      </c>
      <c r="M174" s="20">
        <v>5.6538488164263994</v>
      </c>
      <c r="N174" s="20">
        <v>13.820519329042309</v>
      </c>
      <c r="O174" s="20">
        <v>40.833352563079551</v>
      </c>
      <c r="P174" s="20">
        <v>2.5128216961895107</v>
      </c>
      <c r="Q174" s="20">
        <v>44.525500000000008</v>
      </c>
      <c r="R174" s="20">
        <f t="shared" si="316"/>
        <v>4.0072950000000009</v>
      </c>
      <c r="S174" s="20">
        <f t="shared" si="317"/>
        <v>9.7956099999999999</v>
      </c>
      <c r="T174" s="20">
        <f t="shared" si="318"/>
        <v>28.941575000000007</v>
      </c>
      <c r="U174" s="20">
        <f t="shared" si="319"/>
        <v>1.78102</v>
      </c>
      <c r="V174" s="20">
        <v>0</v>
      </c>
      <c r="W174" s="20">
        <f t="shared" si="320"/>
        <v>62.820542404737772</v>
      </c>
      <c r="X174" s="20"/>
      <c r="Y174" s="20">
        <f t="shared" si="321"/>
        <v>35.580142404737771</v>
      </c>
      <c r="Z174" s="28"/>
      <c r="AA174" s="20">
        <f t="shared" si="322"/>
        <v>0</v>
      </c>
      <c r="AB174" s="20">
        <v>0</v>
      </c>
      <c r="AC174" s="20">
        <v>0</v>
      </c>
      <c r="AD174" s="174">
        <v>18.600000000000001</v>
      </c>
      <c r="AE174" s="20">
        <v>38.373400000000004</v>
      </c>
      <c r="AF174" s="20">
        <v>8.6403999999999996</v>
      </c>
      <c r="AG174" s="20">
        <v>6.1521000000000008</v>
      </c>
      <c r="AH174" s="20">
        <v>15.806742404737758</v>
      </c>
      <c r="AI174" s="20"/>
      <c r="AJ174" s="20">
        <v>0</v>
      </c>
      <c r="AK174" s="20"/>
      <c r="AL174" s="20">
        <v>0</v>
      </c>
      <c r="AM174" s="20"/>
      <c r="AN174" s="20">
        <f t="shared" si="336"/>
        <v>62.820542404737765</v>
      </c>
      <c r="AO174" s="20">
        <f t="shared" si="337"/>
        <v>44.525500000000008</v>
      </c>
      <c r="AP174" s="94" t="s">
        <v>547</v>
      </c>
      <c r="AQ174" s="86"/>
      <c r="AR174" s="85">
        <f t="shared" si="272"/>
        <v>19.773400000000017</v>
      </c>
      <c r="AS174" s="85">
        <f t="shared" si="273"/>
        <v>0</v>
      </c>
      <c r="AT174" s="113">
        <f t="shared" si="310"/>
        <v>-18.295042404737764</v>
      </c>
      <c r="AV174" s="105">
        <f t="shared" si="309"/>
        <v>3.5527136788005009E-15</v>
      </c>
      <c r="AX174" s="31">
        <f t="shared" ref="AX174:AX176" si="339">J174-Q174</f>
        <v>0</v>
      </c>
      <c r="AY174" s="15"/>
      <c r="AZ174" s="118">
        <v>6.1521000000000008</v>
      </c>
      <c r="BA174" s="118"/>
      <c r="BB174" s="118"/>
      <c r="BC174" s="118"/>
      <c r="BD174" s="8"/>
      <c r="BE174" s="118">
        <f t="shared" si="265"/>
        <v>0</v>
      </c>
      <c r="BF174" s="118">
        <f t="shared" si="266"/>
        <v>0</v>
      </c>
      <c r="BG174" s="118">
        <f t="shared" si="267"/>
        <v>0</v>
      </c>
      <c r="BH174" s="118">
        <f t="shared" si="268"/>
        <v>0</v>
      </c>
      <c r="BI174" s="122">
        <f t="shared" si="269"/>
        <v>0</v>
      </c>
      <c r="BJ174" s="118">
        <f t="shared" si="324"/>
        <v>0</v>
      </c>
      <c r="BK174" s="108">
        <v>2021</v>
      </c>
      <c r="BL174" s="8" t="b">
        <f t="shared" si="325"/>
        <v>1</v>
      </c>
      <c r="BM174" s="128">
        <f t="shared" si="240"/>
        <v>44.525500000000008</v>
      </c>
      <c r="BN174" s="129">
        <f t="shared" si="220"/>
        <v>0</v>
      </c>
      <c r="BR174" s="73">
        <f t="shared" si="326"/>
        <v>0</v>
      </c>
      <c r="BS174" s="73">
        <f t="shared" si="327"/>
        <v>0</v>
      </c>
      <c r="BT174" s="73">
        <f t="shared" si="328"/>
        <v>35.020624304694223</v>
      </c>
      <c r="BU174" s="73">
        <f t="shared" si="329"/>
        <v>5.3863196197022711</v>
      </c>
      <c r="BV174" s="73">
        <f t="shared" si="330"/>
        <v>0</v>
      </c>
      <c r="BW174" s="73">
        <f t="shared" si="331"/>
        <v>0</v>
      </c>
      <c r="BX174" s="73">
        <f t="shared" si="332"/>
        <v>0</v>
      </c>
      <c r="BY174" s="73">
        <f t="shared" si="333"/>
        <v>2.6190920352100632E-15</v>
      </c>
      <c r="BZ174" s="74">
        <f t="shared" si="334"/>
        <v>48.488332709275788</v>
      </c>
      <c r="CB174" s="75">
        <f t="shared" si="262"/>
        <v>48.488332709275788</v>
      </c>
      <c r="CE174" s="8"/>
      <c r="CJ174" s="70">
        <f t="shared" si="270"/>
        <v>0</v>
      </c>
      <c r="CL174" s="163"/>
      <c r="CM174" s="68"/>
      <c r="CN174" s="20">
        <v>18.64</v>
      </c>
      <c r="CQ174" s="177">
        <f t="shared" si="263"/>
        <v>60.332242404737769</v>
      </c>
      <c r="CR174" s="177">
        <f t="shared" si="264"/>
        <v>-2.4882999999999953</v>
      </c>
    </row>
    <row r="175" spans="1:96" ht="56.25" x14ac:dyDescent="0.3">
      <c r="B175" s="51" t="s">
        <v>101</v>
      </c>
      <c r="C175" s="76" t="s">
        <v>390</v>
      </c>
      <c r="D175" s="20" t="s">
        <v>286</v>
      </c>
      <c r="E175" s="27" t="s">
        <v>487</v>
      </c>
      <c r="F175" s="21">
        <f t="shared" si="312"/>
        <v>2020</v>
      </c>
      <c r="G175" s="46">
        <f t="shared" si="313"/>
        <v>2025</v>
      </c>
      <c r="H175" s="46">
        <f t="shared" si="314"/>
        <v>2020</v>
      </c>
      <c r="I175" s="22" t="s">
        <v>131</v>
      </c>
      <c r="J175" s="20">
        <f t="shared" si="338"/>
        <v>4.4198999999999993</v>
      </c>
      <c r="K175" s="20">
        <v>0</v>
      </c>
      <c r="L175" s="20">
        <f t="shared" si="335"/>
        <v>13.41586487246</v>
      </c>
      <c r="M175" s="20">
        <v>1.2071941126525418</v>
      </c>
      <c r="N175" s="20">
        <v>2.9513734090067714</v>
      </c>
      <c r="O175" s="20">
        <v>8.7203121670989994</v>
      </c>
      <c r="P175" s="20">
        <v>0.53698518370168735</v>
      </c>
      <c r="Q175" s="20">
        <v>4.4198999999999993</v>
      </c>
      <c r="R175" s="20">
        <f t="shared" si="316"/>
        <v>0.39771399825783965</v>
      </c>
      <c r="S175" s="20">
        <f t="shared" si="317"/>
        <v>0.97233949912891982</v>
      </c>
      <c r="T175" s="20">
        <f t="shared" si="318"/>
        <v>2.8729349999999991</v>
      </c>
      <c r="U175" s="20">
        <f t="shared" si="319"/>
        <v>0.1769115026132404</v>
      </c>
      <c r="V175" s="20">
        <v>0</v>
      </c>
      <c r="W175" s="20">
        <f t="shared" si="320"/>
        <v>13.41586487246</v>
      </c>
      <c r="X175" s="20"/>
      <c r="Y175" s="20">
        <f t="shared" si="321"/>
        <v>9.7158648724599992</v>
      </c>
      <c r="Z175" s="28"/>
      <c r="AA175" s="20">
        <f t="shared" si="322"/>
        <v>0</v>
      </c>
      <c r="AB175" s="20">
        <v>0</v>
      </c>
      <c r="AC175" s="20">
        <v>0</v>
      </c>
      <c r="AD175" s="174">
        <v>3.7</v>
      </c>
      <c r="AE175" s="20">
        <v>4.4198999999999993</v>
      </c>
      <c r="AF175" s="20">
        <v>0</v>
      </c>
      <c r="AG175" s="20"/>
      <c r="AH175" s="20">
        <v>8.9959648724600019</v>
      </c>
      <c r="AI175" s="20"/>
      <c r="AJ175" s="20">
        <v>0</v>
      </c>
      <c r="AK175" s="20"/>
      <c r="AL175" s="20">
        <v>0</v>
      </c>
      <c r="AM175" s="20"/>
      <c r="AN175" s="20">
        <f t="shared" si="336"/>
        <v>13.415864872460002</v>
      </c>
      <c r="AO175" s="20">
        <f t="shared" si="337"/>
        <v>4.4198999999999993</v>
      </c>
      <c r="AP175" s="94" t="s">
        <v>547</v>
      </c>
      <c r="AQ175" s="86"/>
      <c r="AR175" s="85">
        <f t="shared" si="272"/>
        <v>0.71989999999999732</v>
      </c>
      <c r="AS175" s="85">
        <f t="shared" si="273"/>
        <v>0</v>
      </c>
      <c r="AT175" s="113">
        <f t="shared" si="310"/>
        <v>-8.9959648724600001</v>
      </c>
      <c r="AV175" s="105">
        <f t="shared" si="309"/>
        <v>0</v>
      </c>
      <c r="AX175" s="31">
        <f t="shared" si="339"/>
        <v>0</v>
      </c>
      <c r="AY175" s="15"/>
      <c r="AZ175" s="118"/>
      <c r="BA175" s="118"/>
      <c r="BB175" s="118"/>
      <c r="BC175" s="118"/>
      <c r="BD175" s="8"/>
      <c r="BE175" s="118">
        <f t="shared" si="265"/>
        <v>0</v>
      </c>
      <c r="BF175" s="118">
        <f t="shared" si="266"/>
        <v>0</v>
      </c>
      <c r="BG175" s="118">
        <f t="shared" si="267"/>
        <v>0</v>
      </c>
      <c r="BH175" s="118">
        <f t="shared" si="268"/>
        <v>0</v>
      </c>
      <c r="BI175" s="122">
        <f t="shared" si="269"/>
        <v>0</v>
      </c>
      <c r="BJ175" s="118">
        <f t="shared" si="324"/>
        <v>0</v>
      </c>
      <c r="BK175" s="108">
        <v>2020</v>
      </c>
      <c r="BL175" s="8" t="b">
        <f t="shared" si="325"/>
        <v>1</v>
      </c>
      <c r="BM175" s="128">
        <f t="shared" si="240"/>
        <v>4.4198999999999993</v>
      </c>
      <c r="BN175" s="129">
        <f t="shared" si="220"/>
        <v>0</v>
      </c>
      <c r="BR175" s="73">
        <f t="shared" si="326"/>
        <v>0</v>
      </c>
      <c r="BS175" s="73">
        <f t="shared" si="327"/>
        <v>0</v>
      </c>
      <c r="BT175" s="73">
        <f t="shared" si="328"/>
        <v>4.0337227705733127</v>
      </c>
      <c r="BU175" s="73">
        <f t="shared" si="329"/>
        <v>0</v>
      </c>
      <c r="BV175" s="73">
        <f t="shared" si="330"/>
        <v>0</v>
      </c>
      <c r="BW175" s="73">
        <f t="shared" si="331"/>
        <v>0</v>
      </c>
      <c r="BX175" s="73">
        <f t="shared" si="332"/>
        <v>0</v>
      </c>
      <c r="BY175" s="73">
        <f t="shared" si="333"/>
        <v>0</v>
      </c>
      <c r="BZ175" s="74">
        <f t="shared" si="334"/>
        <v>4.8404673246879755</v>
      </c>
      <c r="CB175" s="75">
        <f t="shared" si="262"/>
        <v>4.8404673246879755</v>
      </c>
      <c r="CE175" s="8"/>
      <c r="CJ175" s="70">
        <f t="shared" si="270"/>
        <v>4.4408920985006262E-16</v>
      </c>
      <c r="CL175" s="163"/>
      <c r="CM175" s="68"/>
      <c r="CN175" s="20">
        <v>3.66</v>
      </c>
      <c r="CQ175" s="177">
        <f t="shared" si="263"/>
        <v>13.415864872460002</v>
      </c>
      <c r="CR175" s="177">
        <f t="shared" si="264"/>
        <v>0</v>
      </c>
    </row>
    <row r="176" spans="1:96" ht="56.25" x14ac:dyDescent="0.3">
      <c r="B176" s="51" t="s">
        <v>101</v>
      </c>
      <c r="C176" s="76" t="s">
        <v>391</v>
      </c>
      <c r="D176" s="20" t="s">
        <v>287</v>
      </c>
      <c r="E176" s="21" t="s">
        <v>487</v>
      </c>
      <c r="F176" s="21">
        <f t="shared" si="312"/>
        <v>2020</v>
      </c>
      <c r="G176" s="46" t="str">
        <f t="shared" si="313"/>
        <v>Ошибка в +</v>
      </c>
      <c r="H176" s="46">
        <f t="shared" si="314"/>
        <v>2021</v>
      </c>
      <c r="I176" s="22" t="s">
        <v>131</v>
      </c>
      <c r="J176" s="20">
        <f t="shared" si="338"/>
        <v>12.850700000000002</v>
      </c>
      <c r="K176" s="20">
        <v>0</v>
      </c>
      <c r="L176" s="20">
        <f t="shared" si="335"/>
        <v>17.995206545813197</v>
      </c>
      <c r="M176" s="20">
        <v>1.6198870883540872</v>
      </c>
      <c r="N176" s="20">
        <v>3.9589454400789035</v>
      </c>
      <c r="O176" s="20">
        <v>11.697202754009478</v>
      </c>
      <c r="P176" s="20">
        <v>0.71917126337072923</v>
      </c>
      <c r="Q176" s="20">
        <v>12.850700000000002</v>
      </c>
      <c r="R176" s="20">
        <f t="shared" si="316"/>
        <v>1.1567904460176994</v>
      </c>
      <c r="S176" s="20">
        <f t="shared" si="317"/>
        <v>2.8271540000000002</v>
      </c>
      <c r="T176" s="20">
        <f t="shared" si="318"/>
        <v>8.3531824460176995</v>
      </c>
      <c r="U176" s="20">
        <f t="shared" si="319"/>
        <v>0.51357310796460187</v>
      </c>
      <c r="V176" s="20">
        <v>0</v>
      </c>
      <c r="W176" s="20">
        <f t="shared" si="320"/>
        <v>17.995206545813197</v>
      </c>
      <c r="X176" s="20"/>
      <c r="Y176" s="20">
        <f t="shared" si="321"/>
        <v>-2.7215934541868023</v>
      </c>
      <c r="Z176" s="28"/>
      <c r="AA176" s="20">
        <f t="shared" si="322"/>
        <v>0</v>
      </c>
      <c r="AB176" s="20">
        <v>0</v>
      </c>
      <c r="AC176" s="20">
        <v>0</v>
      </c>
      <c r="AD176" s="174">
        <v>8.1</v>
      </c>
      <c r="AE176" s="20">
        <v>0.49319999999999997</v>
      </c>
      <c r="AF176" s="20">
        <v>12.6168</v>
      </c>
      <c r="AG176" s="20">
        <v>12.357500000000002</v>
      </c>
      <c r="AH176" s="20">
        <v>4.8852065458131957</v>
      </c>
      <c r="AI176" s="20"/>
      <c r="AJ176" s="20">
        <v>0</v>
      </c>
      <c r="AK176" s="20"/>
      <c r="AL176" s="20">
        <v>0</v>
      </c>
      <c r="AM176" s="20"/>
      <c r="AN176" s="20">
        <f t="shared" si="336"/>
        <v>17.995206545813197</v>
      </c>
      <c r="AO176" s="20">
        <f t="shared" si="337"/>
        <v>12.850700000000002</v>
      </c>
      <c r="AP176" s="94" t="s">
        <v>547</v>
      </c>
      <c r="AQ176" s="86"/>
      <c r="AR176" s="85">
        <f t="shared" si="272"/>
        <v>-7.6067999999999998</v>
      </c>
      <c r="AS176" s="85">
        <f t="shared" si="273"/>
        <v>0</v>
      </c>
      <c r="AT176" s="113">
        <f t="shared" si="310"/>
        <v>-5.1445065458131953</v>
      </c>
      <c r="AV176" s="105">
        <f t="shared" si="309"/>
        <v>0</v>
      </c>
      <c r="AX176" s="31">
        <f t="shared" si="339"/>
        <v>0</v>
      </c>
      <c r="AY176" s="15"/>
      <c r="AZ176" s="118">
        <v>12.357500000000002</v>
      </c>
      <c r="BA176" s="118"/>
      <c r="BB176" s="118"/>
      <c r="BC176" s="118"/>
      <c r="BD176" s="8"/>
      <c r="BE176" s="118">
        <f t="shared" si="265"/>
        <v>0</v>
      </c>
      <c r="BF176" s="118">
        <f t="shared" si="266"/>
        <v>0</v>
      </c>
      <c r="BG176" s="118">
        <f t="shared" si="267"/>
        <v>0</v>
      </c>
      <c r="BH176" s="118">
        <f t="shared" si="268"/>
        <v>0</v>
      </c>
      <c r="BI176" s="122">
        <f t="shared" si="269"/>
        <v>0</v>
      </c>
      <c r="BJ176" s="118">
        <f t="shared" si="324"/>
        <v>0</v>
      </c>
      <c r="BK176" s="108">
        <v>2021</v>
      </c>
      <c r="BL176" s="8" t="b">
        <f t="shared" si="325"/>
        <v>1</v>
      </c>
      <c r="BM176" s="128">
        <f t="shared" si="240"/>
        <v>12.850700000000002</v>
      </c>
      <c r="BN176" s="129">
        <f t="shared" si="220"/>
        <v>0</v>
      </c>
      <c r="BR176" s="73">
        <f t="shared" si="326"/>
        <v>0</v>
      </c>
      <c r="BS176" s="73">
        <f t="shared" si="327"/>
        <v>0</v>
      </c>
      <c r="BT176" s="73">
        <f t="shared" si="328"/>
        <v>0.45010793693222878</v>
      </c>
      <c r="BU176" s="73">
        <f t="shared" si="329"/>
        <v>10.819304741546922</v>
      </c>
      <c r="BV176" s="73">
        <f t="shared" si="330"/>
        <v>0</v>
      </c>
      <c r="BW176" s="73">
        <f t="shared" si="331"/>
        <v>0</v>
      </c>
      <c r="BX176" s="73">
        <f t="shared" si="332"/>
        <v>0</v>
      </c>
      <c r="BY176" s="73">
        <f t="shared" si="333"/>
        <v>0</v>
      </c>
      <c r="BZ176" s="74">
        <f t="shared" si="334"/>
        <v>13.523295214174981</v>
      </c>
      <c r="CB176" s="75">
        <f t="shared" si="262"/>
        <v>13.523295214174981</v>
      </c>
      <c r="CE176" s="8"/>
      <c r="CJ176" s="70">
        <f t="shared" si="270"/>
        <v>0</v>
      </c>
      <c r="CL176" s="163"/>
      <c r="CM176" s="68"/>
      <c r="CN176" s="20">
        <v>8.07</v>
      </c>
      <c r="CQ176" s="177">
        <f t="shared" si="263"/>
        <v>17.735906545813197</v>
      </c>
      <c r="CR176" s="177">
        <f t="shared" si="264"/>
        <v>-0.25929999999999964</v>
      </c>
    </row>
    <row r="177" spans="1:96" ht="56.25" x14ac:dyDescent="0.3">
      <c r="B177" s="51" t="s">
        <v>101</v>
      </c>
      <c r="C177" s="76" t="s">
        <v>393</v>
      </c>
      <c r="D177" s="20" t="s">
        <v>289</v>
      </c>
      <c r="E177" s="27" t="s">
        <v>488</v>
      </c>
      <c r="F177" s="21">
        <f t="shared" si="312"/>
        <v>2020</v>
      </c>
      <c r="G177" s="46">
        <f t="shared" si="313"/>
        <v>2025</v>
      </c>
      <c r="H177" s="46">
        <f t="shared" si="314"/>
        <v>2024</v>
      </c>
      <c r="I177" s="22" t="s">
        <v>131</v>
      </c>
      <c r="J177" s="20" t="s">
        <v>131</v>
      </c>
      <c r="K177" s="20">
        <v>0</v>
      </c>
      <c r="L177" s="20">
        <f t="shared" si="335"/>
        <v>24.486935792497938</v>
      </c>
      <c r="M177" s="20">
        <v>2.2040038400856288</v>
      </c>
      <c r="N177" s="20">
        <v>5.3869299266104758</v>
      </c>
      <c r="O177" s="20">
        <v>15.916671554906218</v>
      </c>
      <c r="P177" s="20">
        <v>0.97933047089561465</v>
      </c>
      <c r="Q177" s="20">
        <v>43.027799999999999</v>
      </c>
      <c r="R177" s="20">
        <f t="shared" si="316"/>
        <v>3.8728176213656971</v>
      </c>
      <c r="S177" s="20">
        <f t="shared" si="317"/>
        <v>9.4657716857828742</v>
      </c>
      <c r="T177" s="20">
        <f t="shared" si="318"/>
        <v>27.968356928514268</v>
      </c>
      <c r="U177" s="20">
        <f t="shared" si="319"/>
        <v>1.7208537643371564</v>
      </c>
      <c r="V177" s="20">
        <v>0</v>
      </c>
      <c r="W177" s="20">
        <f t="shared" si="320"/>
        <v>24.486935792497938</v>
      </c>
      <c r="X177" s="20"/>
      <c r="Y177" s="20">
        <f t="shared" si="321"/>
        <v>9.6869357924979376</v>
      </c>
      <c r="Z177" s="28"/>
      <c r="AA177" s="20">
        <f t="shared" si="322"/>
        <v>21.18</v>
      </c>
      <c r="AB177" s="20">
        <v>0</v>
      </c>
      <c r="AC177" s="20">
        <v>0</v>
      </c>
      <c r="AD177" s="174">
        <v>9</v>
      </c>
      <c r="AE177" s="20">
        <v>18.186499999999999</v>
      </c>
      <c r="AF177" s="20">
        <v>5.8</v>
      </c>
      <c r="AG177" s="20">
        <v>3.6613000000000002</v>
      </c>
      <c r="AH177" s="20">
        <v>0.50043579249793713</v>
      </c>
      <c r="AI177" s="20">
        <v>0.98</v>
      </c>
      <c r="AJ177" s="20">
        <v>0</v>
      </c>
      <c r="AK177" s="20">
        <v>11.99</v>
      </c>
      <c r="AL177" s="20">
        <v>0</v>
      </c>
      <c r="AM177" s="20">
        <v>8.2100000000000009</v>
      </c>
      <c r="AN177" s="20">
        <f t="shared" si="336"/>
        <v>24.486935792497938</v>
      </c>
      <c r="AO177" s="20">
        <f t="shared" ref="AO177:AO186" si="340">SUM(AE177+AG177+AI177+AK177+AM177)</f>
        <v>43.027799999999999</v>
      </c>
      <c r="AP177" s="94" t="s">
        <v>504</v>
      </c>
      <c r="AQ177" s="130"/>
      <c r="AR177" s="85">
        <f t="shared" si="272"/>
        <v>9.1865000000000006</v>
      </c>
      <c r="AS177" s="85">
        <f t="shared" si="273"/>
        <v>0</v>
      </c>
      <c r="AT177" s="113">
        <f t="shared" si="310"/>
        <v>18.540864207502061</v>
      </c>
      <c r="AV177" s="105">
        <f t="shared" si="309"/>
        <v>0</v>
      </c>
      <c r="AX177" s="31"/>
      <c r="AY177" s="15"/>
      <c r="AZ177" s="118">
        <v>3.6613000000000002</v>
      </c>
      <c r="BA177" s="118">
        <v>7.4650190398669842</v>
      </c>
      <c r="BB177" s="118">
        <v>6.0566520228181755</v>
      </c>
      <c r="BC177" s="118">
        <v>6.4800914235959945</v>
      </c>
      <c r="BD177" s="8"/>
      <c r="BE177" s="118">
        <f t="shared" si="265"/>
        <v>0</v>
      </c>
      <c r="BF177" s="118">
        <f t="shared" si="266"/>
        <v>-6.4850190398669838</v>
      </c>
      <c r="BG177" s="118">
        <f t="shared" si="267"/>
        <v>5.9333479771818247</v>
      </c>
      <c r="BH177" s="118">
        <f t="shared" si="268"/>
        <v>1.7299085764040063</v>
      </c>
      <c r="BI177" s="122">
        <f t="shared" si="269"/>
        <v>1.1782375137188472</v>
      </c>
      <c r="BJ177" s="118">
        <f t="shared" si="324"/>
        <v>0</v>
      </c>
      <c r="BK177" s="108">
        <v>2024</v>
      </c>
      <c r="BL177" s="8" t="b">
        <f t="shared" si="325"/>
        <v>1</v>
      </c>
      <c r="BM177" s="128">
        <f t="shared" si="240"/>
        <v>43.027799999999999</v>
      </c>
      <c r="BN177" s="129">
        <f t="shared" si="220"/>
        <v>0</v>
      </c>
      <c r="BR177" s="73">
        <f t="shared" si="326"/>
        <v>0</v>
      </c>
      <c r="BS177" s="73">
        <f t="shared" si="327"/>
        <v>0</v>
      </c>
      <c r="BT177" s="73">
        <f t="shared" si="328"/>
        <v>16.597502017473598</v>
      </c>
      <c r="BU177" s="73">
        <f t="shared" si="329"/>
        <v>3.2055610317803556</v>
      </c>
      <c r="BV177" s="73">
        <f t="shared" si="330"/>
        <v>0.82248313603926859</v>
      </c>
      <c r="BW177" s="73">
        <f t="shared" si="331"/>
        <v>9.6396402936542156</v>
      </c>
      <c r="BX177" s="73">
        <f t="shared" si="332"/>
        <v>6.3206138085879182</v>
      </c>
      <c r="BY177" s="73">
        <f t="shared" si="333"/>
        <v>-1.3095460176050316E-15</v>
      </c>
      <c r="BZ177" s="74">
        <f t="shared" si="334"/>
        <v>43.902960345042416</v>
      </c>
      <c r="CB177" s="75">
        <f t="shared" si="262"/>
        <v>43.902960345042416</v>
      </c>
      <c r="CE177" s="8"/>
      <c r="CJ177" s="70">
        <f t="shared" si="270"/>
        <v>0</v>
      </c>
      <c r="CL177" s="163"/>
      <c r="CM177" s="68"/>
      <c r="CN177" s="20">
        <v>8.9600000000000009</v>
      </c>
      <c r="CQ177" s="177">
        <f t="shared" si="263"/>
        <v>22.348235792497938</v>
      </c>
      <c r="CR177" s="177">
        <f t="shared" si="264"/>
        <v>-2.1387</v>
      </c>
    </row>
    <row r="178" spans="1:96" ht="56.25" x14ac:dyDescent="0.3">
      <c r="B178" s="51" t="s">
        <v>101</v>
      </c>
      <c r="C178" s="76" t="s">
        <v>395</v>
      </c>
      <c r="D178" s="20" t="s">
        <v>291</v>
      </c>
      <c r="E178" s="27" t="s">
        <v>488</v>
      </c>
      <c r="F178" s="21">
        <f t="shared" si="312"/>
        <v>2020</v>
      </c>
      <c r="G178" s="46" t="str">
        <f t="shared" si="313"/>
        <v>Ошибка в +</v>
      </c>
      <c r="H178" s="46">
        <f t="shared" si="314"/>
        <v>2023</v>
      </c>
      <c r="I178" s="22" t="s">
        <v>131</v>
      </c>
      <c r="J178" s="20" t="s">
        <v>131</v>
      </c>
      <c r="K178" s="20">
        <v>0</v>
      </c>
      <c r="L178" s="20">
        <f t="shared" si="335"/>
        <v>89.30062666975715</v>
      </c>
      <c r="M178" s="20">
        <v>8.0373416146718508</v>
      </c>
      <c r="N178" s="20">
        <v>19.646280474543428</v>
      </c>
      <c r="O178" s="20">
        <v>58.045407335342148</v>
      </c>
      <c r="P178" s="20">
        <v>3.5715972451997251</v>
      </c>
      <c r="Q178" s="20">
        <v>89.870400000000004</v>
      </c>
      <c r="R178" s="20">
        <f t="shared" si="316"/>
        <v>8.0886230341743861</v>
      </c>
      <c r="S178" s="20">
        <f t="shared" si="317"/>
        <v>19.771631517087194</v>
      </c>
      <c r="T178" s="20">
        <f t="shared" si="318"/>
        <v>58.415760000000006</v>
      </c>
      <c r="U178" s="20">
        <f t="shared" si="319"/>
        <v>3.5943854487384224</v>
      </c>
      <c r="V178" s="20">
        <v>0</v>
      </c>
      <c r="W178" s="20">
        <f t="shared" si="320"/>
        <v>89.30062666975715</v>
      </c>
      <c r="X178" s="20"/>
      <c r="Y178" s="20">
        <f t="shared" si="321"/>
        <v>53.600626669757155</v>
      </c>
      <c r="Z178" s="28"/>
      <c r="AA178" s="20">
        <f t="shared" si="322"/>
        <v>59.120000000000005</v>
      </c>
      <c r="AB178" s="20">
        <v>0</v>
      </c>
      <c r="AC178" s="20">
        <v>0</v>
      </c>
      <c r="AD178" s="174">
        <v>30.9</v>
      </c>
      <c r="AE178" s="20">
        <v>26.830200000000001</v>
      </c>
      <c r="AF178" s="20">
        <v>4.8</v>
      </c>
      <c r="AG178" s="20">
        <v>3.9201999999999999</v>
      </c>
      <c r="AH178" s="20">
        <v>0</v>
      </c>
      <c r="AI178" s="20">
        <v>25.05</v>
      </c>
      <c r="AJ178" s="20">
        <v>22.911207604436196</v>
      </c>
      <c r="AK178" s="20">
        <v>34.07</v>
      </c>
      <c r="AL178" s="20">
        <v>34.759219065320949</v>
      </c>
      <c r="AM178" s="20">
        <v>0</v>
      </c>
      <c r="AN178" s="20">
        <f t="shared" si="336"/>
        <v>89.30062666975715</v>
      </c>
      <c r="AO178" s="20">
        <f t="shared" si="340"/>
        <v>89.870400000000004</v>
      </c>
      <c r="AP178" s="94" t="s">
        <v>504</v>
      </c>
      <c r="AQ178" s="130"/>
      <c r="AR178" s="85">
        <f t="shared" si="272"/>
        <v>-4.0697999999999865</v>
      </c>
      <c r="AS178" s="85">
        <f t="shared" si="273"/>
        <v>0</v>
      </c>
      <c r="AT178" s="113">
        <f t="shared" si="310"/>
        <v>0.56977333024285315</v>
      </c>
      <c r="AV178" s="105">
        <f t="shared" si="309"/>
        <v>-7.1054273576010019E-15</v>
      </c>
      <c r="AX178" s="31"/>
      <c r="AY178" s="15"/>
      <c r="AZ178" s="118">
        <v>3.9201999999999999</v>
      </c>
      <c r="BA178" s="118">
        <v>16.227928708882857</v>
      </c>
      <c r="BB178" s="118">
        <v>3.6844633138810567</v>
      </c>
      <c r="BC178" s="118">
        <v>80.502518937744881</v>
      </c>
      <c r="BD178" s="8"/>
      <c r="BE178" s="118">
        <f t="shared" si="265"/>
        <v>0</v>
      </c>
      <c r="BF178" s="118">
        <f t="shared" si="266"/>
        <v>8.8220712911171439</v>
      </c>
      <c r="BG178" s="118">
        <f t="shared" si="267"/>
        <v>30.385536686118943</v>
      </c>
      <c r="BH178" s="118">
        <f t="shared" si="268"/>
        <v>-80.502518937744881</v>
      </c>
      <c r="BI178" s="122">
        <f t="shared" si="269"/>
        <v>-41.294910960508794</v>
      </c>
      <c r="BJ178" s="118">
        <f t="shared" si="324"/>
        <v>0</v>
      </c>
      <c r="BK178" s="108">
        <v>2024</v>
      </c>
      <c r="BL178" s="8" t="b">
        <f t="shared" si="325"/>
        <v>0</v>
      </c>
      <c r="BM178" s="128">
        <f t="shared" si="240"/>
        <v>89.870400000000004</v>
      </c>
      <c r="BN178" s="129">
        <f t="shared" si="220"/>
        <v>0</v>
      </c>
      <c r="BR178" s="73">
        <f t="shared" si="326"/>
        <v>0</v>
      </c>
      <c r="BS178" s="73">
        <f t="shared" si="327"/>
        <v>0</v>
      </c>
      <c r="BT178" s="73">
        <f t="shared" si="328"/>
        <v>24.485981284426373</v>
      </c>
      <c r="BU178" s="73">
        <f t="shared" si="329"/>
        <v>3.4322345496914615</v>
      </c>
      <c r="BV178" s="73">
        <f t="shared" si="330"/>
        <v>21.0236760793711</v>
      </c>
      <c r="BW178" s="73">
        <f t="shared" si="331"/>
        <v>27.391371543352722</v>
      </c>
      <c r="BX178" s="73">
        <f t="shared" si="332"/>
        <v>0</v>
      </c>
      <c r="BY178" s="73">
        <f t="shared" si="333"/>
        <v>-5.2381840704201263E-15</v>
      </c>
      <c r="BZ178" s="74">
        <f t="shared" si="334"/>
        <v>91.599916148209971</v>
      </c>
      <c r="CB178" s="75">
        <f t="shared" si="262"/>
        <v>91.599916148209971</v>
      </c>
      <c r="CE178" s="8"/>
      <c r="CJ178" s="70">
        <f t="shared" si="270"/>
        <v>-7.9936057773011271E-15</v>
      </c>
      <c r="CL178" s="163"/>
      <c r="CM178" s="68"/>
      <c r="CN178" s="20">
        <v>30.91</v>
      </c>
      <c r="CQ178" s="177">
        <f t="shared" si="263"/>
        <v>88.420826669757147</v>
      </c>
      <c r="CR178" s="177">
        <f t="shared" si="264"/>
        <v>-0.87980000000000302</v>
      </c>
    </row>
    <row r="179" spans="1:96" ht="56.25" x14ac:dyDescent="0.3">
      <c r="B179" s="51" t="s">
        <v>101</v>
      </c>
      <c r="C179" s="76" t="s">
        <v>394</v>
      </c>
      <c r="D179" s="20" t="s">
        <v>290</v>
      </c>
      <c r="E179" s="27" t="s">
        <v>488</v>
      </c>
      <c r="F179" s="21">
        <f t="shared" si="312"/>
        <v>2020</v>
      </c>
      <c r="G179" s="46">
        <f t="shared" si="313"/>
        <v>2025</v>
      </c>
      <c r="H179" s="46">
        <f t="shared" si="314"/>
        <v>2024</v>
      </c>
      <c r="I179" s="22" t="s">
        <v>131</v>
      </c>
      <c r="J179" s="20" t="s">
        <v>131</v>
      </c>
      <c r="K179" s="20">
        <v>0</v>
      </c>
      <c r="L179" s="20">
        <f t="shared" si="335"/>
        <v>22.819187303309363</v>
      </c>
      <c r="M179" s="20">
        <v>2.0537884808120297</v>
      </c>
      <c r="N179" s="20">
        <v>5.0205909478131794</v>
      </c>
      <c r="O179" s="20">
        <v>14.833272852835513</v>
      </c>
      <c r="P179" s="20">
        <v>0.91153502184864199</v>
      </c>
      <c r="Q179" s="20">
        <v>30.540099999999999</v>
      </c>
      <c r="R179" s="20">
        <f t="shared" si="316"/>
        <v>2.748691473940049</v>
      </c>
      <c r="S179" s="20">
        <f t="shared" si="317"/>
        <v>6.719316843640291</v>
      </c>
      <c r="T179" s="20">
        <f t="shared" si="318"/>
        <v>19.852137161220632</v>
      </c>
      <c r="U179" s="20">
        <f t="shared" si="319"/>
        <v>1.2199545211990279</v>
      </c>
      <c r="V179" s="20">
        <v>0</v>
      </c>
      <c r="W179" s="20">
        <f t="shared" si="320"/>
        <v>22.819187303309363</v>
      </c>
      <c r="X179" s="20"/>
      <c r="Y179" s="20">
        <f t="shared" si="321"/>
        <v>15.419187303309364</v>
      </c>
      <c r="Z179" s="28"/>
      <c r="AA179" s="20">
        <f t="shared" si="322"/>
        <v>13.651399999999999</v>
      </c>
      <c r="AB179" s="20">
        <v>0</v>
      </c>
      <c r="AC179" s="20">
        <v>0</v>
      </c>
      <c r="AD179" s="174">
        <v>2.2999999999999998</v>
      </c>
      <c r="AE179" s="20">
        <v>11.9046</v>
      </c>
      <c r="AF179" s="20">
        <v>5.0999999999999996</v>
      </c>
      <c r="AG179" s="20">
        <v>4.9841000000000006</v>
      </c>
      <c r="AH179" s="20">
        <v>5.8145873033093647</v>
      </c>
      <c r="AI179" s="20">
        <v>12.8514</v>
      </c>
      <c r="AJ179" s="20">
        <v>0</v>
      </c>
      <c r="AK179" s="20">
        <v>0</v>
      </c>
      <c r="AL179" s="20">
        <v>0</v>
      </c>
      <c r="AM179" s="20">
        <v>0.8</v>
      </c>
      <c r="AN179" s="20">
        <f t="shared" si="336"/>
        <v>22.819187303309363</v>
      </c>
      <c r="AO179" s="20">
        <f t="shared" si="340"/>
        <v>30.540099999999999</v>
      </c>
      <c r="AP179" s="94" t="s">
        <v>504</v>
      </c>
      <c r="AQ179" s="130"/>
      <c r="AR179" s="85">
        <f t="shared" si="272"/>
        <v>9.6045999999999978</v>
      </c>
      <c r="AS179" s="85">
        <f t="shared" si="273"/>
        <v>0</v>
      </c>
      <c r="AT179" s="113">
        <f t="shared" si="310"/>
        <v>7.7209126966906361</v>
      </c>
      <c r="AV179" s="105">
        <f t="shared" si="309"/>
        <v>-1.1102230246251565E-15</v>
      </c>
      <c r="AX179" s="31"/>
      <c r="AY179" s="15"/>
      <c r="AZ179" s="118">
        <v>4.9841000000000006</v>
      </c>
      <c r="BA179" s="118">
        <v>8.3059510577221101</v>
      </c>
      <c r="BB179" s="118"/>
      <c r="BC179" s="118">
        <v>0.80748802786242935</v>
      </c>
      <c r="BD179" s="8"/>
      <c r="BE179" s="118">
        <f t="shared" si="265"/>
        <v>0</v>
      </c>
      <c r="BF179" s="118">
        <f t="shared" si="266"/>
        <v>4.5454489422778899</v>
      </c>
      <c r="BG179" s="118">
        <f t="shared" si="267"/>
        <v>0</v>
      </c>
      <c r="BH179" s="118">
        <f t="shared" si="268"/>
        <v>-7.4880278624293028E-3</v>
      </c>
      <c r="BI179" s="122">
        <f t="shared" si="269"/>
        <v>4.5379609144154607</v>
      </c>
      <c r="BJ179" s="118">
        <f t="shared" si="324"/>
        <v>0</v>
      </c>
      <c r="BK179" s="108">
        <v>2024</v>
      </c>
      <c r="BL179" s="8" t="b">
        <f t="shared" si="325"/>
        <v>1</v>
      </c>
      <c r="BM179" s="128">
        <f t="shared" si="240"/>
        <v>30.540099999999999</v>
      </c>
      <c r="BN179" s="129">
        <f t="shared" si="220"/>
        <v>0</v>
      </c>
      <c r="BR179" s="73">
        <f t="shared" si="326"/>
        <v>0</v>
      </c>
      <c r="BS179" s="73">
        <f t="shared" si="327"/>
        <v>0</v>
      </c>
      <c r="BT179" s="73">
        <f t="shared" si="328"/>
        <v>10.864466638287533</v>
      </c>
      <c r="BU179" s="73">
        <f t="shared" si="329"/>
        <v>4.363705989265144</v>
      </c>
      <c r="BV179" s="73">
        <f t="shared" si="330"/>
        <v>10.785775280096995</v>
      </c>
      <c r="BW179" s="73">
        <f t="shared" si="331"/>
        <v>0</v>
      </c>
      <c r="BX179" s="73">
        <f t="shared" si="332"/>
        <v>0.61589415918030865</v>
      </c>
      <c r="BY179" s="73">
        <f t="shared" si="333"/>
        <v>-8.1846626100314476E-16</v>
      </c>
      <c r="BZ179" s="74">
        <f t="shared" si="334"/>
        <v>31.955810480195975</v>
      </c>
      <c r="CB179" s="75">
        <f t="shared" si="262"/>
        <v>31.955810480195975</v>
      </c>
      <c r="CE179" s="8"/>
      <c r="CJ179" s="70">
        <f t="shared" si="270"/>
        <v>0</v>
      </c>
      <c r="CL179" s="163"/>
      <c r="CM179" s="68"/>
      <c r="CN179" s="20">
        <v>2.2799999999999998</v>
      </c>
      <c r="CQ179" s="177">
        <f t="shared" si="263"/>
        <v>22.703287303309367</v>
      </c>
      <c r="CR179" s="177">
        <f t="shared" si="264"/>
        <v>-0.11589999999999634</v>
      </c>
    </row>
    <row r="180" spans="1:96" ht="56.25" x14ac:dyDescent="0.3">
      <c r="B180" s="51" t="s">
        <v>101</v>
      </c>
      <c r="C180" s="76" t="s">
        <v>396</v>
      </c>
      <c r="D180" s="20" t="s">
        <v>292</v>
      </c>
      <c r="E180" s="27" t="s">
        <v>488</v>
      </c>
      <c r="F180" s="21">
        <f t="shared" si="312"/>
        <v>2020</v>
      </c>
      <c r="G180" s="46" t="str">
        <f t="shared" si="313"/>
        <v>Ошибка в +</v>
      </c>
      <c r="H180" s="46">
        <f t="shared" si="314"/>
        <v>2024</v>
      </c>
      <c r="I180" s="22" t="s">
        <v>131</v>
      </c>
      <c r="J180" s="20" t="s">
        <v>131</v>
      </c>
      <c r="K180" s="20">
        <v>0</v>
      </c>
      <c r="L180" s="20">
        <f t="shared" si="335"/>
        <v>94.890716886945384</v>
      </c>
      <c r="M180" s="20">
        <v>8.5399130870829367</v>
      </c>
      <c r="N180" s="20">
        <v>20.876460580612285</v>
      </c>
      <c r="O180" s="20">
        <v>61.678965976514498</v>
      </c>
      <c r="P180" s="20">
        <v>3.7953772427356673</v>
      </c>
      <c r="Q180" s="20">
        <v>185.51180000000002</v>
      </c>
      <c r="R180" s="20">
        <f t="shared" si="316"/>
        <v>16.695570447800748</v>
      </c>
      <c r="S180" s="20">
        <f t="shared" si="317"/>
        <v>40.813579104398528</v>
      </c>
      <c r="T180" s="20">
        <f t="shared" si="318"/>
        <v>120.58267000000002</v>
      </c>
      <c r="U180" s="20">
        <f t="shared" si="319"/>
        <v>7.4199804478007447</v>
      </c>
      <c r="V180" s="20">
        <v>0</v>
      </c>
      <c r="W180" s="20">
        <f t="shared" si="320"/>
        <v>94.890716886945384</v>
      </c>
      <c r="X180" s="20"/>
      <c r="Y180" s="20">
        <f t="shared" si="321"/>
        <v>35.862716886945378</v>
      </c>
      <c r="Z180" s="28"/>
      <c r="AA180" s="20">
        <f t="shared" si="322"/>
        <v>147.34000000000003</v>
      </c>
      <c r="AB180" s="20">
        <v>0</v>
      </c>
      <c r="AC180" s="20">
        <v>0</v>
      </c>
      <c r="AD180" s="174">
        <v>15.3</v>
      </c>
      <c r="AE180" s="20">
        <v>12.1084</v>
      </c>
      <c r="AF180" s="20">
        <v>43.728000000000002</v>
      </c>
      <c r="AG180" s="20">
        <v>26.063400000000001</v>
      </c>
      <c r="AH180" s="20">
        <v>24.187729970733624</v>
      </c>
      <c r="AI180" s="20">
        <v>38.86</v>
      </c>
      <c r="AJ180" s="20">
        <v>13.918372046343158</v>
      </c>
      <c r="AK180" s="20">
        <v>38.86</v>
      </c>
      <c r="AL180" s="20">
        <v>0.9482148698686208</v>
      </c>
      <c r="AM180" s="20">
        <v>69.620000000000019</v>
      </c>
      <c r="AN180" s="20">
        <f t="shared" si="336"/>
        <v>94.890716886945398</v>
      </c>
      <c r="AO180" s="20">
        <f t="shared" si="340"/>
        <v>185.51180000000002</v>
      </c>
      <c r="AP180" s="94" t="s">
        <v>504</v>
      </c>
      <c r="AQ180" s="130"/>
      <c r="AR180" s="85">
        <f t="shared" si="272"/>
        <v>-3.1916000000000366</v>
      </c>
      <c r="AS180" s="85">
        <f t="shared" si="273"/>
        <v>0</v>
      </c>
      <c r="AT180" s="113">
        <f t="shared" si="310"/>
        <v>90.621083113054638</v>
      </c>
      <c r="AV180" s="105">
        <f t="shared" si="309"/>
        <v>0</v>
      </c>
      <c r="AX180" s="31"/>
      <c r="AY180" s="15"/>
      <c r="AZ180" s="118">
        <v>26.063400000000001</v>
      </c>
      <c r="BA180" s="118">
        <v>58.827769555495038</v>
      </c>
      <c r="BB180" s="118">
        <v>61.777850632745398</v>
      </c>
      <c r="BC180" s="118">
        <v>40.646928602525037</v>
      </c>
      <c r="BD180" s="8"/>
      <c r="BE180" s="118">
        <f t="shared" si="265"/>
        <v>0</v>
      </c>
      <c r="BF180" s="118">
        <f t="shared" si="266"/>
        <v>-19.967769555495039</v>
      </c>
      <c r="BG180" s="118">
        <f t="shared" si="267"/>
        <v>-22.917850632745399</v>
      </c>
      <c r="BH180" s="118">
        <f t="shared" si="268"/>
        <v>28.973071397474982</v>
      </c>
      <c r="BI180" s="122">
        <f t="shared" si="269"/>
        <v>-13.912548790765456</v>
      </c>
      <c r="BJ180" s="118">
        <f t="shared" si="324"/>
        <v>0</v>
      </c>
      <c r="BK180" s="108">
        <v>2024</v>
      </c>
      <c r="BL180" s="8" t="b">
        <f t="shared" si="325"/>
        <v>1</v>
      </c>
      <c r="BM180" s="128">
        <f t="shared" si="240"/>
        <v>185.51180000000002</v>
      </c>
      <c r="BN180" s="129">
        <f t="shared" si="220"/>
        <v>0</v>
      </c>
      <c r="BR180" s="73">
        <f t="shared" si="326"/>
        <v>0</v>
      </c>
      <c r="BS180" s="73">
        <f t="shared" si="327"/>
        <v>0</v>
      </c>
      <c r="BT180" s="73">
        <f t="shared" si="328"/>
        <v>11.050460145073398</v>
      </c>
      <c r="BU180" s="73">
        <f t="shared" si="329"/>
        <v>22.819167890012867</v>
      </c>
      <c r="BV180" s="73">
        <f t="shared" si="330"/>
        <v>32.613974149475489</v>
      </c>
      <c r="BW180" s="73">
        <f t="shared" si="331"/>
        <v>31.242403820800902</v>
      </c>
      <c r="BX180" s="73">
        <f t="shared" si="332"/>
        <v>53.598189202666376</v>
      </c>
      <c r="BY180" s="73">
        <f t="shared" si="333"/>
        <v>1.0476368140840253E-14</v>
      </c>
      <c r="BZ180" s="74">
        <f t="shared" si="334"/>
        <v>181.58903424963484</v>
      </c>
      <c r="CB180" s="75">
        <f t="shared" si="262"/>
        <v>181.58903424963484</v>
      </c>
      <c r="CE180" s="8"/>
      <c r="CJ180" s="70">
        <f t="shared" si="270"/>
        <v>0</v>
      </c>
      <c r="CL180" s="163"/>
      <c r="CM180" s="68"/>
      <c r="CN180" s="20">
        <v>15.28</v>
      </c>
      <c r="CQ180" s="177">
        <f t="shared" si="263"/>
        <v>77.22611688694542</v>
      </c>
      <c r="CR180" s="177">
        <f t="shared" si="264"/>
        <v>-17.664599999999979</v>
      </c>
    </row>
    <row r="181" spans="1:96" ht="56.25" x14ac:dyDescent="0.3">
      <c r="B181" s="51" t="s">
        <v>101</v>
      </c>
      <c r="C181" s="76" t="s">
        <v>397</v>
      </c>
      <c r="D181" s="20" t="s">
        <v>293</v>
      </c>
      <c r="E181" s="27" t="s">
        <v>488</v>
      </c>
      <c r="F181" s="21">
        <f t="shared" si="312"/>
        <v>2020</v>
      </c>
      <c r="G181" s="46">
        <f t="shared" si="313"/>
        <v>2025</v>
      </c>
      <c r="H181" s="46">
        <f t="shared" si="314"/>
        <v>2024</v>
      </c>
      <c r="I181" s="22" t="s">
        <v>131</v>
      </c>
      <c r="J181" s="20" t="s">
        <v>131</v>
      </c>
      <c r="K181" s="20">
        <v>0</v>
      </c>
      <c r="L181" s="20">
        <f t="shared" si="335"/>
        <v>41.872512812537963</v>
      </c>
      <c r="M181" s="20">
        <v>3.7686115027264848</v>
      </c>
      <c r="N181" s="20">
        <v>9.2117821195622138</v>
      </c>
      <c r="O181" s="20">
        <v>27.217133328149671</v>
      </c>
      <c r="P181" s="20">
        <v>1.6749858620995872</v>
      </c>
      <c r="Q181" s="20">
        <v>46.229300000000002</v>
      </c>
      <c r="R181" s="20">
        <f t="shared" si="316"/>
        <v>4.160731230126375</v>
      </c>
      <c r="S181" s="20">
        <f t="shared" si="317"/>
        <v>10.170257539747249</v>
      </c>
      <c r="T181" s="20">
        <f t="shared" si="318"/>
        <v>30.049044999999996</v>
      </c>
      <c r="U181" s="20">
        <f t="shared" si="319"/>
        <v>1.8492662301263758</v>
      </c>
      <c r="V181" s="20">
        <v>0</v>
      </c>
      <c r="W181" s="20">
        <f t="shared" si="320"/>
        <v>41.872512812537963</v>
      </c>
      <c r="X181" s="20"/>
      <c r="Y181" s="20">
        <f t="shared" si="321"/>
        <v>23.572512812537962</v>
      </c>
      <c r="Z181" s="28"/>
      <c r="AA181" s="20">
        <f t="shared" si="322"/>
        <v>5.1600000000000037</v>
      </c>
      <c r="AB181" s="20">
        <v>0</v>
      </c>
      <c r="AC181" s="20">
        <v>0</v>
      </c>
      <c r="AD181" s="174">
        <v>13.6</v>
      </c>
      <c r="AE181" s="20">
        <v>36.704900000000002</v>
      </c>
      <c r="AF181" s="20">
        <v>4.7</v>
      </c>
      <c r="AG181" s="20">
        <v>4.3643999999999998</v>
      </c>
      <c r="AH181" s="20">
        <v>0</v>
      </c>
      <c r="AI181" s="20">
        <v>0</v>
      </c>
      <c r="AJ181" s="20">
        <v>0</v>
      </c>
      <c r="AK181" s="20">
        <v>0.46</v>
      </c>
      <c r="AL181" s="20">
        <v>0.46761281253794995</v>
      </c>
      <c r="AM181" s="20">
        <v>4.7</v>
      </c>
      <c r="AN181" s="20">
        <f t="shared" si="336"/>
        <v>41.872512812537956</v>
      </c>
      <c r="AO181" s="20">
        <f t="shared" si="340"/>
        <v>46.229300000000002</v>
      </c>
      <c r="AP181" s="94" t="s">
        <v>504</v>
      </c>
      <c r="AQ181" s="130"/>
      <c r="AR181" s="85">
        <f t="shared" si="272"/>
        <v>23.104900000000011</v>
      </c>
      <c r="AS181" s="85">
        <f t="shared" si="273"/>
        <v>0</v>
      </c>
      <c r="AT181" s="113">
        <f t="shared" si="310"/>
        <v>4.3567871874620394</v>
      </c>
      <c r="AV181" s="105">
        <f t="shared" si="309"/>
        <v>0</v>
      </c>
      <c r="AX181" s="31"/>
      <c r="AY181" s="15"/>
      <c r="AZ181" s="118">
        <v>4.3643999999999998</v>
      </c>
      <c r="BA181" s="118">
        <v>0</v>
      </c>
      <c r="BB181" s="118">
        <v>0.36339912136909053</v>
      </c>
      <c r="BC181" s="118">
        <v>3.8355681323465389</v>
      </c>
      <c r="BD181" s="8"/>
      <c r="BE181" s="118">
        <f t="shared" si="265"/>
        <v>0</v>
      </c>
      <c r="BF181" s="118">
        <f t="shared" si="266"/>
        <v>0</v>
      </c>
      <c r="BG181" s="118">
        <f t="shared" si="267"/>
        <v>9.6600878630909492E-2</v>
      </c>
      <c r="BH181" s="118">
        <f t="shared" si="268"/>
        <v>0.86443186765346125</v>
      </c>
      <c r="BI181" s="122">
        <f t="shared" si="269"/>
        <v>0.96103274628437074</v>
      </c>
      <c r="BJ181" s="118">
        <f t="shared" si="324"/>
        <v>0</v>
      </c>
      <c r="BK181" s="108">
        <v>2024</v>
      </c>
      <c r="BL181" s="8" t="b">
        <f t="shared" si="325"/>
        <v>1</v>
      </c>
      <c r="BM181" s="128">
        <f t="shared" si="240"/>
        <v>46.229300000000002</v>
      </c>
      <c r="BN181" s="129">
        <f t="shared" si="220"/>
        <v>0</v>
      </c>
      <c r="BR181" s="73">
        <f t="shared" si="326"/>
        <v>0</v>
      </c>
      <c r="BS181" s="73">
        <f t="shared" si="327"/>
        <v>0</v>
      </c>
      <c r="BT181" s="73">
        <f t="shared" si="328"/>
        <v>33.497905138491014</v>
      </c>
      <c r="BU181" s="73">
        <f t="shared" si="329"/>
        <v>3.821142918390239</v>
      </c>
      <c r="BV181" s="73">
        <f t="shared" si="330"/>
        <v>0</v>
      </c>
      <c r="BW181" s="73">
        <f t="shared" si="331"/>
        <v>0.36982773436871885</v>
      </c>
      <c r="BX181" s="73">
        <f t="shared" si="332"/>
        <v>3.6183781851843135</v>
      </c>
      <c r="BY181" s="73">
        <f t="shared" si="333"/>
        <v>0</v>
      </c>
      <c r="BZ181" s="74">
        <f t="shared" si="334"/>
        <v>49.568704771721137</v>
      </c>
      <c r="CB181" s="75">
        <f t="shared" si="262"/>
        <v>49.568704771721137</v>
      </c>
      <c r="CE181" s="8"/>
      <c r="CJ181" s="70">
        <f t="shared" si="270"/>
        <v>9.7699626167013776E-15</v>
      </c>
      <c r="CL181" s="163"/>
      <c r="CM181" s="68"/>
      <c r="CN181" s="20">
        <v>13.58</v>
      </c>
      <c r="CQ181" s="177">
        <f t="shared" si="263"/>
        <v>41.536912812537949</v>
      </c>
      <c r="CR181" s="177">
        <f t="shared" si="264"/>
        <v>-0.33560000000000656</v>
      </c>
    </row>
    <row r="182" spans="1:96" ht="56.25" x14ac:dyDescent="0.3">
      <c r="B182" s="51" t="s">
        <v>101</v>
      </c>
      <c r="C182" s="76" t="s">
        <v>399</v>
      </c>
      <c r="D182" s="20" t="s">
        <v>295</v>
      </c>
      <c r="E182" s="27" t="s">
        <v>488</v>
      </c>
      <c r="F182" s="21">
        <f t="shared" si="312"/>
        <v>2020</v>
      </c>
      <c r="G182" s="46">
        <f t="shared" si="313"/>
        <v>2025</v>
      </c>
      <c r="H182" s="46">
        <f t="shared" si="314"/>
        <v>2024</v>
      </c>
      <c r="I182" s="22" t="s">
        <v>131</v>
      </c>
      <c r="J182" s="20" t="s">
        <v>131</v>
      </c>
      <c r="K182" s="20">
        <v>0</v>
      </c>
      <c r="L182" s="20">
        <f t="shared" si="335"/>
        <v>33.148582471202197</v>
      </c>
      <c r="M182" s="20">
        <v>2.9833724224081974</v>
      </c>
      <c r="N182" s="20">
        <v>7.292688143664483</v>
      </c>
      <c r="O182" s="20">
        <v>21.546578606281429</v>
      </c>
      <c r="P182" s="20">
        <v>1.3259432988480879</v>
      </c>
      <c r="Q182" s="20">
        <v>40.883499999999998</v>
      </c>
      <c r="R182" s="20">
        <f t="shared" si="316"/>
        <v>3.6795149999999999</v>
      </c>
      <c r="S182" s="20">
        <f t="shared" si="317"/>
        <v>8.99437</v>
      </c>
      <c r="T182" s="20">
        <f t="shared" si="318"/>
        <v>26.574275</v>
      </c>
      <c r="U182" s="20">
        <f t="shared" si="319"/>
        <v>1.63534</v>
      </c>
      <c r="V182" s="20">
        <v>0</v>
      </c>
      <c r="W182" s="20">
        <f t="shared" si="320"/>
        <v>33.148582471202197</v>
      </c>
      <c r="X182" s="20"/>
      <c r="Y182" s="20">
        <f t="shared" si="321"/>
        <v>32.948582471202194</v>
      </c>
      <c r="Z182" s="28"/>
      <c r="AA182" s="20">
        <f t="shared" si="322"/>
        <v>33.479999999999997</v>
      </c>
      <c r="AB182" s="20">
        <v>0</v>
      </c>
      <c r="AC182" s="20">
        <v>0</v>
      </c>
      <c r="AD182" s="174">
        <v>0.2</v>
      </c>
      <c r="AE182" s="20">
        <v>7.4035000000000002</v>
      </c>
      <c r="AF182" s="20">
        <v>0</v>
      </c>
      <c r="AG182" s="20"/>
      <c r="AH182" s="20">
        <v>4.0130184503167916</v>
      </c>
      <c r="AI182" s="20">
        <v>2.6</v>
      </c>
      <c r="AJ182" s="20">
        <v>21.732064020885407</v>
      </c>
      <c r="AK182" s="20">
        <f>2.13+13.5</f>
        <v>15.629999999999999</v>
      </c>
      <c r="AL182" s="20">
        <v>0</v>
      </c>
      <c r="AM182" s="20">
        <v>15.25</v>
      </c>
      <c r="AN182" s="20">
        <f t="shared" si="336"/>
        <v>33.148582471202197</v>
      </c>
      <c r="AO182" s="20">
        <f t="shared" si="340"/>
        <v>40.883499999999998</v>
      </c>
      <c r="AP182" s="94" t="s">
        <v>503</v>
      </c>
      <c r="AQ182" s="130"/>
      <c r="AR182" s="85">
        <f t="shared" si="272"/>
        <v>7.2034999999999982</v>
      </c>
      <c r="AS182" s="85">
        <f t="shared" si="273"/>
        <v>0</v>
      </c>
      <c r="AT182" s="113">
        <f t="shared" si="310"/>
        <v>7.7349175287978014</v>
      </c>
      <c r="AV182" s="105">
        <f t="shared" si="309"/>
        <v>0</v>
      </c>
      <c r="AX182" s="31"/>
      <c r="AY182" s="15"/>
      <c r="AZ182" s="118"/>
      <c r="BA182" s="118">
        <v>2.5317624694762513</v>
      </c>
      <c r="BB182" s="118">
        <v>5.6326863812209034</v>
      </c>
      <c r="BC182" s="118">
        <v>9.2053635176316941</v>
      </c>
      <c r="BD182" s="8"/>
      <c r="BE182" s="118">
        <f t="shared" si="265"/>
        <v>0</v>
      </c>
      <c r="BF182" s="118">
        <f t="shared" si="266"/>
        <v>6.8237530523748813E-2</v>
      </c>
      <c r="BG182" s="118">
        <f t="shared" si="267"/>
        <v>9.9973136187790956</v>
      </c>
      <c r="BH182" s="118">
        <f t="shared" si="268"/>
        <v>6.0446364823683059</v>
      </c>
      <c r="BI182" s="122">
        <f t="shared" si="269"/>
        <v>16.110187631671153</v>
      </c>
      <c r="BJ182" s="118">
        <f t="shared" si="324"/>
        <v>0</v>
      </c>
      <c r="BK182" s="108">
        <v>2024</v>
      </c>
      <c r="BL182" s="8" t="b">
        <f t="shared" si="325"/>
        <v>1</v>
      </c>
      <c r="BM182" s="128">
        <f t="shared" si="240"/>
        <v>40.883499999999998</v>
      </c>
      <c r="BN182" s="129">
        <f t="shared" si="220"/>
        <v>0</v>
      </c>
      <c r="BR182" s="73">
        <f t="shared" si="326"/>
        <v>0</v>
      </c>
      <c r="BS182" s="73">
        <f t="shared" si="327"/>
        <v>0</v>
      </c>
      <c r="BT182" s="73">
        <f t="shared" si="328"/>
        <v>6.756638505834867</v>
      </c>
      <c r="BU182" s="73">
        <f t="shared" si="329"/>
        <v>0</v>
      </c>
      <c r="BV182" s="73">
        <f t="shared" si="330"/>
        <v>2.1820981160225492</v>
      </c>
      <c r="BW182" s="73">
        <f t="shared" si="331"/>
        <v>12.566103235180599</v>
      </c>
      <c r="BX182" s="73">
        <f t="shared" si="332"/>
        <v>11.740482409374634</v>
      </c>
      <c r="BY182" s="73">
        <f t="shared" si="333"/>
        <v>-2.6190920352100632E-15</v>
      </c>
      <c r="BZ182" s="74">
        <f t="shared" si="334"/>
        <v>39.894386719695177</v>
      </c>
      <c r="CB182" s="75">
        <f t="shared" si="262"/>
        <v>39.894386719695177</v>
      </c>
      <c r="CE182" s="8"/>
      <c r="CJ182" s="70">
        <f t="shared" si="270"/>
        <v>-4.2188474935755949E-15</v>
      </c>
      <c r="CL182" s="163"/>
      <c r="CM182" s="68"/>
      <c r="CN182" s="20">
        <v>0.16</v>
      </c>
      <c r="CQ182" s="177">
        <f t="shared" si="263"/>
        <v>33.148582471202197</v>
      </c>
      <c r="CR182" s="177">
        <f t="shared" si="264"/>
        <v>0</v>
      </c>
    </row>
    <row r="183" spans="1:96" ht="56.25" x14ac:dyDescent="0.3">
      <c r="B183" s="51" t="s">
        <v>101</v>
      </c>
      <c r="C183" s="76" t="s">
        <v>398</v>
      </c>
      <c r="D183" s="20" t="s">
        <v>294</v>
      </c>
      <c r="E183" s="27" t="s">
        <v>488</v>
      </c>
      <c r="F183" s="21">
        <f t="shared" si="312"/>
        <v>2020</v>
      </c>
      <c r="G183" s="46">
        <f t="shared" si="313"/>
        <v>2025</v>
      </c>
      <c r="H183" s="46">
        <f t="shared" si="314"/>
        <v>2024</v>
      </c>
      <c r="I183" s="22" t="s">
        <v>131</v>
      </c>
      <c r="J183" s="20" t="s">
        <v>131</v>
      </c>
      <c r="K183" s="20">
        <v>0</v>
      </c>
      <c r="L183" s="20">
        <f t="shared" si="335"/>
        <v>61.216126323064763</v>
      </c>
      <c r="M183" s="20">
        <v>5.5101103155378635</v>
      </c>
      <c r="N183" s="20">
        <v>13.467547791074246</v>
      </c>
      <c r="O183" s="20">
        <v>39.79114105645413</v>
      </c>
      <c r="P183" s="20">
        <v>2.4473271599985202</v>
      </c>
      <c r="Q183" s="20">
        <v>68.0291</v>
      </c>
      <c r="R183" s="20">
        <f t="shared" si="316"/>
        <v>6.1233512831001073</v>
      </c>
      <c r="S183" s="20">
        <f t="shared" si="317"/>
        <v>14.966401999999999</v>
      </c>
      <c r="T183" s="20">
        <f t="shared" si="318"/>
        <v>44.219647283100109</v>
      </c>
      <c r="U183" s="20">
        <f t="shared" si="319"/>
        <v>2.7196994337997848</v>
      </c>
      <c r="V183" s="20">
        <v>0</v>
      </c>
      <c r="W183" s="20">
        <f t="shared" si="320"/>
        <v>61.216126323064763</v>
      </c>
      <c r="X183" s="20"/>
      <c r="Y183" s="20">
        <f t="shared" si="321"/>
        <v>52.646126323064763</v>
      </c>
      <c r="Z183" s="28"/>
      <c r="AA183" s="20">
        <f t="shared" si="322"/>
        <v>47.2</v>
      </c>
      <c r="AB183" s="20">
        <v>0</v>
      </c>
      <c r="AC183" s="20">
        <v>0</v>
      </c>
      <c r="AD183" s="174">
        <v>0.8</v>
      </c>
      <c r="AE183" s="20">
        <v>13.0471</v>
      </c>
      <c r="AF183" s="20">
        <v>7.77</v>
      </c>
      <c r="AG183" s="20">
        <v>7.782</v>
      </c>
      <c r="AH183" s="20">
        <v>16.442890324932222</v>
      </c>
      <c r="AI183" s="20">
        <v>15.58</v>
      </c>
      <c r="AJ183" s="20">
        <v>10.75906328872818</v>
      </c>
      <c r="AK183" s="20">
        <v>9.57</v>
      </c>
      <c r="AL183" s="20">
        <v>13.197072709404367</v>
      </c>
      <c r="AM183" s="20">
        <v>22.05</v>
      </c>
      <c r="AN183" s="20">
        <f t="shared" si="336"/>
        <v>61.216126323064763</v>
      </c>
      <c r="AO183" s="20">
        <f t="shared" si="340"/>
        <v>68.0291</v>
      </c>
      <c r="AP183" s="94" t="s">
        <v>504</v>
      </c>
      <c r="AQ183" s="130"/>
      <c r="AR183" s="85">
        <f t="shared" si="272"/>
        <v>12.247099999999996</v>
      </c>
      <c r="AS183" s="85">
        <f t="shared" si="273"/>
        <v>0</v>
      </c>
      <c r="AT183" s="113">
        <f t="shared" si="310"/>
        <v>6.8129736769352363</v>
      </c>
      <c r="AV183" s="105">
        <f t="shared" si="309"/>
        <v>0</v>
      </c>
      <c r="AX183" s="31"/>
      <c r="AY183" s="15"/>
      <c r="AZ183" s="118">
        <v>7.782</v>
      </c>
      <c r="BA183" s="118">
        <v>11.80564704360177</v>
      </c>
      <c r="BB183" s="118">
        <v>23.408960068192247</v>
      </c>
      <c r="BC183" s="118">
        <v>13.101493252067915</v>
      </c>
      <c r="BD183" s="8"/>
      <c r="BE183" s="118">
        <f t="shared" si="265"/>
        <v>0</v>
      </c>
      <c r="BF183" s="118">
        <f t="shared" si="266"/>
        <v>3.7743529563982303</v>
      </c>
      <c r="BG183" s="118">
        <f t="shared" si="267"/>
        <v>-13.838960068192247</v>
      </c>
      <c r="BH183" s="118">
        <f t="shared" si="268"/>
        <v>8.9485067479320861</v>
      </c>
      <c r="BI183" s="122">
        <f t="shared" si="269"/>
        <v>-1.1161003638619302</v>
      </c>
      <c r="BJ183" s="118">
        <f t="shared" si="324"/>
        <v>0</v>
      </c>
      <c r="BK183" s="108">
        <v>2024</v>
      </c>
      <c r="BL183" s="8" t="b">
        <f t="shared" si="325"/>
        <v>1</v>
      </c>
      <c r="BM183" s="128">
        <f t="shared" si="240"/>
        <v>68.0291</v>
      </c>
      <c r="BN183" s="129">
        <f t="shared" si="220"/>
        <v>0</v>
      </c>
      <c r="BR183" s="73">
        <f t="shared" si="326"/>
        <v>0</v>
      </c>
      <c r="BS183" s="73">
        <f t="shared" si="327"/>
        <v>0</v>
      </c>
      <c r="BT183" s="73">
        <f t="shared" si="328"/>
        <v>11.907143681971782</v>
      </c>
      <c r="BU183" s="73">
        <f t="shared" si="329"/>
        <v>6.8133384178610665</v>
      </c>
      <c r="BV183" s="73">
        <f t="shared" si="330"/>
        <v>13.075803326012045</v>
      </c>
      <c r="BW183" s="73">
        <f t="shared" si="331"/>
        <v>7.6940248215405207</v>
      </c>
      <c r="BX183" s="73">
        <f t="shared" si="332"/>
        <v>16.975582762407257</v>
      </c>
      <c r="BY183" s="73">
        <f t="shared" si="333"/>
        <v>2.6190920352100632E-15</v>
      </c>
      <c r="BZ183" s="74">
        <f t="shared" si="334"/>
        <v>67.75907161175121</v>
      </c>
      <c r="CB183" s="75">
        <f t="shared" si="262"/>
        <v>67.75907161175121</v>
      </c>
      <c r="CE183" s="8"/>
      <c r="CJ183" s="70">
        <f t="shared" si="270"/>
        <v>0</v>
      </c>
      <c r="CL183" s="163"/>
      <c r="CM183" s="68"/>
      <c r="CN183" s="20">
        <v>0.82</v>
      </c>
      <c r="CQ183" s="177">
        <f t="shared" si="263"/>
        <v>61.228126323064764</v>
      </c>
      <c r="CR183" s="177">
        <f t="shared" si="264"/>
        <v>1.2000000000000455E-2</v>
      </c>
    </row>
    <row r="184" spans="1:96" ht="56.25" x14ac:dyDescent="0.3">
      <c r="B184" s="51" t="s">
        <v>101</v>
      </c>
      <c r="C184" s="76" t="s">
        <v>400</v>
      </c>
      <c r="D184" s="20" t="s">
        <v>296</v>
      </c>
      <c r="E184" s="27" t="s">
        <v>488</v>
      </c>
      <c r="F184" s="21">
        <f t="shared" si="312"/>
        <v>2020</v>
      </c>
      <c r="G184" s="46" t="str">
        <f t="shared" si="313"/>
        <v>Ошибка в +</v>
      </c>
      <c r="H184" s="46">
        <f t="shared" si="314"/>
        <v>2024</v>
      </c>
      <c r="I184" s="22" t="s">
        <v>131</v>
      </c>
      <c r="J184" s="20" t="s">
        <v>131</v>
      </c>
      <c r="K184" s="20">
        <v>0</v>
      </c>
      <c r="L184" s="20">
        <f t="shared" si="335"/>
        <v>70.264319897278327</v>
      </c>
      <c r="M184" s="20">
        <v>6.3233839646369541</v>
      </c>
      <c r="N184" s="20">
        <v>15.457610609243773</v>
      </c>
      <c r="O184" s="20">
        <v>45.672482643427735</v>
      </c>
      <c r="P184" s="20">
        <v>2.8108426799698627</v>
      </c>
      <c r="Q184" s="20">
        <v>55.332100000000004</v>
      </c>
      <c r="R184" s="20">
        <f t="shared" si="316"/>
        <v>4.9795702054926059</v>
      </c>
      <c r="S184" s="20">
        <f t="shared" si="317"/>
        <v>12.17263694065681</v>
      </c>
      <c r="T184" s="20">
        <f t="shared" si="318"/>
        <v>35.966396324178987</v>
      </c>
      <c r="U184" s="20">
        <f t="shared" si="319"/>
        <v>2.213496529671596</v>
      </c>
      <c r="V184" s="20">
        <v>0</v>
      </c>
      <c r="W184" s="20">
        <f t="shared" si="320"/>
        <v>70.264319897278327</v>
      </c>
      <c r="X184" s="20"/>
      <c r="Y184" s="20">
        <f t="shared" si="321"/>
        <v>33.204319897278324</v>
      </c>
      <c r="Z184" s="28"/>
      <c r="AA184" s="20">
        <f t="shared" si="322"/>
        <v>20.700000000000003</v>
      </c>
      <c r="AB184" s="20">
        <v>0</v>
      </c>
      <c r="AC184" s="20">
        <v>0</v>
      </c>
      <c r="AD184" s="174">
        <v>22</v>
      </c>
      <c r="AE184" s="20">
        <v>16.3523</v>
      </c>
      <c r="AF184" s="20">
        <v>15.06</v>
      </c>
      <c r="AG184" s="20">
        <v>18.279800000000002</v>
      </c>
      <c r="AH184" s="20">
        <v>0</v>
      </c>
      <c r="AI184" s="20">
        <v>0</v>
      </c>
      <c r="AJ184" s="20">
        <v>2.6120269255871884</v>
      </c>
      <c r="AK184" s="20">
        <v>2.02</v>
      </c>
      <c r="AL184" s="20">
        <v>36.239992971691123</v>
      </c>
      <c r="AM184" s="20">
        <v>18.68</v>
      </c>
      <c r="AN184" s="20">
        <f t="shared" si="336"/>
        <v>70.264319897278313</v>
      </c>
      <c r="AO184" s="20">
        <f t="shared" si="340"/>
        <v>55.332100000000004</v>
      </c>
      <c r="AP184" s="94" t="s">
        <v>503</v>
      </c>
      <c r="AQ184" s="130"/>
      <c r="AR184" s="85">
        <f t="shared" si="272"/>
        <v>-5.6476999999999862</v>
      </c>
      <c r="AS184" s="85">
        <f t="shared" si="273"/>
        <v>0</v>
      </c>
      <c r="AT184" s="113">
        <f t="shared" si="310"/>
        <v>-14.932219897278323</v>
      </c>
      <c r="AV184" s="105">
        <f t="shared" si="309"/>
        <v>0</v>
      </c>
      <c r="AX184" s="31"/>
      <c r="AY184" s="15"/>
      <c r="AZ184" s="118">
        <v>18.279800000000002</v>
      </c>
      <c r="BA184" s="118">
        <v>1.5680000000000001</v>
      </c>
      <c r="BB184" s="118">
        <v>20.794505278342406</v>
      </c>
      <c r="BC184" s="118">
        <v>0.80748802786242935</v>
      </c>
      <c r="BD184" s="8"/>
      <c r="BE184" s="118">
        <f t="shared" si="265"/>
        <v>0</v>
      </c>
      <c r="BF184" s="118">
        <f t="shared" si="266"/>
        <v>-1.5680000000000001</v>
      </c>
      <c r="BG184" s="118">
        <f t="shared" si="267"/>
        <v>-18.774505278342406</v>
      </c>
      <c r="BH184" s="118">
        <f t="shared" si="268"/>
        <v>17.87251197213757</v>
      </c>
      <c r="BI184" s="122">
        <f t="shared" si="269"/>
        <v>-2.469993306204838</v>
      </c>
      <c r="BJ184" s="118">
        <f t="shared" si="324"/>
        <v>0</v>
      </c>
      <c r="BK184" s="108">
        <v>2024</v>
      </c>
      <c r="BL184" s="8" t="b">
        <f t="shared" si="325"/>
        <v>1</v>
      </c>
      <c r="BM184" s="128">
        <f t="shared" si="240"/>
        <v>55.332100000000004</v>
      </c>
      <c r="BN184" s="129">
        <f t="shared" si="220"/>
        <v>0</v>
      </c>
      <c r="BR184" s="73">
        <f t="shared" si="326"/>
        <v>0</v>
      </c>
      <c r="BS184" s="73">
        <f t="shared" si="327"/>
        <v>0</v>
      </c>
      <c r="BT184" s="73">
        <f t="shared" si="328"/>
        <v>14.923560456400821</v>
      </c>
      <c r="BU184" s="73">
        <f t="shared" si="329"/>
        <v>16.004428631562163</v>
      </c>
      <c r="BV184" s="73">
        <f t="shared" si="330"/>
        <v>0</v>
      </c>
      <c r="BW184" s="73">
        <f t="shared" si="331"/>
        <v>1.6240261378800263</v>
      </c>
      <c r="BX184" s="73">
        <f t="shared" si="332"/>
        <v>14.381128616860206</v>
      </c>
      <c r="BY184" s="73">
        <f t="shared" si="333"/>
        <v>2.6190920352100632E-15</v>
      </c>
      <c r="BZ184" s="74">
        <f t="shared" si="334"/>
        <v>56.319772611243856</v>
      </c>
      <c r="CB184" s="75">
        <f t="shared" si="262"/>
        <v>56.319772611243856</v>
      </c>
      <c r="CE184" s="8"/>
      <c r="CJ184" s="70">
        <f t="shared" si="270"/>
        <v>5.773159728050814E-15</v>
      </c>
      <c r="CL184" s="163"/>
      <c r="CM184" s="68"/>
      <c r="CN184" s="20">
        <v>22.04</v>
      </c>
      <c r="CQ184" s="177">
        <f t="shared" si="263"/>
        <v>73.484119897278305</v>
      </c>
      <c r="CR184" s="177">
        <f t="shared" si="264"/>
        <v>3.2197999999999922</v>
      </c>
    </row>
    <row r="185" spans="1:96" ht="56.25" x14ac:dyDescent="0.3">
      <c r="B185" s="51" t="s">
        <v>101</v>
      </c>
      <c r="C185" s="76" t="s">
        <v>401</v>
      </c>
      <c r="D185" s="20" t="s">
        <v>297</v>
      </c>
      <c r="E185" s="27" t="s">
        <v>488</v>
      </c>
      <c r="F185" s="21">
        <f t="shared" si="312"/>
        <v>2020</v>
      </c>
      <c r="G185" s="46">
        <f t="shared" si="313"/>
        <v>2025</v>
      </c>
      <c r="H185" s="46">
        <f t="shared" si="314"/>
        <v>2024</v>
      </c>
      <c r="I185" s="22" t="s">
        <v>131</v>
      </c>
      <c r="J185" s="20" t="s">
        <v>131</v>
      </c>
      <c r="K185" s="20">
        <v>0</v>
      </c>
      <c r="L185" s="20">
        <f t="shared" si="335"/>
        <v>142.18983435750729</v>
      </c>
      <c r="M185" s="20">
        <v>12.796822458569528</v>
      </c>
      <c r="N185" s="20">
        <v>31.282288825863859</v>
      </c>
      <c r="O185" s="20">
        <v>92.423392332379748</v>
      </c>
      <c r="P185" s="20">
        <v>5.6873307406941649</v>
      </c>
      <c r="Q185" s="20">
        <v>110.18300000000001</v>
      </c>
      <c r="R185" s="20">
        <f t="shared" si="316"/>
        <v>9.916266485038788</v>
      </c>
      <c r="S185" s="20">
        <f t="shared" si="317"/>
        <v>24.240667029922424</v>
      </c>
      <c r="T185" s="20">
        <f t="shared" si="318"/>
        <v>71.618950000000012</v>
      </c>
      <c r="U185" s="20">
        <f t="shared" si="319"/>
        <v>4.4071164850387889</v>
      </c>
      <c r="V185" s="20">
        <v>0</v>
      </c>
      <c r="W185" s="20">
        <f t="shared" si="320"/>
        <v>142.18983435750729</v>
      </c>
      <c r="X185" s="20"/>
      <c r="Y185" s="20">
        <f t="shared" si="321"/>
        <v>85.730934357507294</v>
      </c>
      <c r="Z185" s="28"/>
      <c r="AA185" s="20">
        <f t="shared" si="322"/>
        <v>61.367900000000006</v>
      </c>
      <c r="AB185" s="20">
        <v>0</v>
      </c>
      <c r="AC185" s="20">
        <v>0</v>
      </c>
      <c r="AD185" s="174">
        <v>8.6</v>
      </c>
      <c r="AE185" s="20">
        <v>12.5549</v>
      </c>
      <c r="AF185" s="20">
        <v>47.858899999999998</v>
      </c>
      <c r="AG185" s="20">
        <v>36.260199999999998</v>
      </c>
      <c r="AH185" s="20">
        <v>29.588861988336365</v>
      </c>
      <c r="AI185" s="20">
        <v>18.447900000000001</v>
      </c>
      <c r="AJ185" s="20">
        <v>7.8808583812002011</v>
      </c>
      <c r="AK185" s="20">
        <v>18.93</v>
      </c>
      <c r="AL185" s="20">
        <v>44.306313987970761</v>
      </c>
      <c r="AM185" s="20">
        <v>23.99</v>
      </c>
      <c r="AN185" s="20">
        <f t="shared" si="336"/>
        <v>142.18983435750732</v>
      </c>
      <c r="AO185" s="20">
        <f t="shared" si="340"/>
        <v>110.18300000000001</v>
      </c>
      <c r="AP185" s="94" t="s">
        <v>503</v>
      </c>
      <c r="AQ185" s="130"/>
      <c r="AR185" s="85">
        <f t="shared" si="272"/>
        <v>3.9548999999999808</v>
      </c>
      <c r="AS185" s="85">
        <f t="shared" si="273"/>
        <v>0</v>
      </c>
      <c r="AT185" s="113">
        <f t="shared" si="310"/>
        <v>-32.006834357507287</v>
      </c>
      <c r="AV185" s="105">
        <f t="shared" si="309"/>
        <v>0</v>
      </c>
      <c r="AX185" s="31"/>
      <c r="AY185" s="15"/>
      <c r="AZ185" s="118">
        <v>36.260199999999998</v>
      </c>
      <c r="BA185" s="118">
        <v>14.44595212495498</v>
      </c>
      <c r="BB185" s="118">
        <v>32.231483181430725</v>
      </c>
      <c r="BC185" s="118">
        <v>9.9825707444492817</v>
      </c>
      <c r="BD185" s="8"/>
      <c r="BE185" s="118">
        <f t="shared" si="265"/>
        <v>0</v>
      </c>
      <c r="BF185" s="118">
        <f t="shared" si="266"/>
        <v>4.0019478750450208</v>
      </c>
      <c r="BG185" s="118">
        <f t="shared" si="267"/>
        <v>-13.301483181430726</v>
      </c>
      <c r="BH185" s="118">
        <f t="shared" si="268"/>
        <v>14.007429255550717</v>
      </c>
      <c r="BI185" s="122">
        <f t="shared" si="269"/>
        <v>4.7078939491650118</v>
      </c>
      <c r="BJ185" s="118">
        <f t="shared" si="324"/>
        <v>0</v>
      </c>
      <c r="BK185" s="108">
        <v>2024</v>
      </c>
      <c r="BL185" s="8" t="b">
        <f t="shared" si="325"/>
        <v>1</v>
      </c>
      <c r="BM185" s="128">
        <f t="shared" si="240"/>
        <v>110.18300000000001</v>
      </c>
      <c r="BN185" s="129">
        <f t="shared" si="220"/>
        <v>0</v>
      </c>
      <c r="BR185" s="73">
        <f t="shared" si="326"/>
        <v>0</v>
      </c>
      <c r="BS185" s="73">
        <f t="shared" si="327"/>
        <v>0</v>
      </c>
      <c r="BT185" s="73">
        <f t="shared" si="328"/>
        <v>11.457948372648904</v>
      </c>
      <c r="BU185" s="73">
        <f t="shared" si="329"/>
        <v>31.746724967787951</v>
      </c>
      <c r="BV185" s="73">
        <f t="shared" si="330"/>
        <v>15.482741474835533</v>
      </c>
      <c r="BW185" s="73">
        <f t="shared" si="331"/>
        <v>15.219215242608366</v>
      </c>
      <c r="BX185" s="73">
        <f t="shared" si="332"/>
        <v>18.469126098419505</v>
      </c>
      <c r="BY185" s="73">
        <f t="shared" si="333"/>
        <v>2.6190920352100632E-15</v>
      </c>
      <c r="BZ185" s="74">
        <f t="shared" si="334"/>
        <v>110.85090738756033</v>
      </c>
      <c r="CB185" s="75">
        <f t="shared" si="262"/>
        <v>110.85090738756033</v>
      </c>
      <c r="CE185" s="8"/>
      <c r="CJ185" s="70">
        <f t="shared" si="270"/>
        <v>0</v>
      </c>
      <c r="CL185" s="163"/>
      <c r="CM185" s="68"/>
      <c r="CN185" s="20">
        <v>8.61</v>
      </c>
      <c r="CQ185" s="177">
        <f t="shared" si="263"/>
        <v>130.59113435750731</v>
      </c>
      <c r="CR185" s="177">
        <f t="shared" si="264"/>
        <v>-11.598700000000008</v>
      </c>
    </row>
    <row r="186" spans="1:96" ht="56.25" x14ac:dyDescent="0.3">
      <c r="B186" s="51" t="s">
        <v>101</v>
      </c>
      <c r="C186" s="71" t="s">
        <v>387</v>
      </c>
      <c r="D186" s="20" t="s">
        <v>283</v>
      </c>
      <c r="E186" s="27" t="s">
        <v>483</v>
      </c>
      <c r="F186" s="21" t="str">
        <f t="shared" si="312"/>
        <v>нд</v>
      </c>
      <c r="G186" s="46">
        <f t="shared" si="313"/>
        <v>2024</v>
      </c>
      <c r="H186" s="46" t="str">
        <f t="shared" si="314"/>
        <v>нд</v>
      </c>
      <c r="I186" s="22" t="s">
        <v>131</v>
      </c>
      <c r="J186" s="20" t="s">
        <v>131</v>
      </c>
      <c r="K186" s="20">
        <v>0</v>
      </c>
      <c r="L186" s="20">
        <f t="shared" si="335"/>
        <v>23.109693385826791</v>
      </c>
      <c r="M186" s="20">
        <v>2.0798088117321551</v>
      </c>
      <c r="N186" s="20">
        <v>5.0842597308664059</v>
      </c>
      <c r="O186" s="20">
        <v>15.021300700787412</v>
      </c>
      <c r="P186" s="20">
        <v>0.92432414244081551</v>
      </c>
      <c r="Q186" s="20">
        <v>0</v>
      </c>
      <c r="R186" s="20">
        <f t="shared" si="316"/>
        <v>0</v>
      </c>
      <c r="S186" s="20">
        <f t="shared" si="317"/>
        <v>0</v>
      </c>
      <c r="T186" s="20">
        <f t="shared" si="318"/>
        <v>0</v>
      </c>
      <c r="U186" s="20">
        <f t="shared" si="319"/>
        <v>0</v>
      </c>
      <c r="V186" s="20">
        <v>0</v>
      </c>
      <c r="W186" s="20">
        <f t="shared" si="320"/>
        <v>23.109693385826791</v>
      </c>
      <c r="X186" s="20"/>
      <c r="Y186" s="20">
        <f t="shared" si="321"/>
        <v>23.109693385826791</v>
      </c>
      <c r="Z186" s="28"/>
      <c r="AA186" s="20">
        <f t="shared" si="322"/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/>
      <c r="AH186" s="20">
        <v>3.6083600458953931</v>
      </c>
      <c r="AI186" s="20"/>
      <c r="AJ186" s="20">
        <v>3.7667703782920925</v>
      </c>
      <c r="AK186" s="20"/>
      <c r="AL186" s="20">
        <v>15.7345629616393</v>
      </c>
      <c r="AM186" s="20"/>
      <c r="AN186" s="20">
        <f t="shared" si="336"/>
        <v>23.109693385826787</v>
      </c>
      <c r="AO186" s="20">
        <f t="shared" si="340"/>
        <v>0</v>
      </c>
      <c r="AP186" s="94" t="s">
        <v>503</v>
      </c>
      <c r="AQ186" s="86"/>
      <c r="AR186" s="85">
        <f t="shared" si="272"/>
        <v>0</v>
      </c>
      <c r="AS186" s="85">
        <f t="shared" si="273"/>
        <v>0</v>
      </c>
      <c r="AT186" s="113">
        <f t="shared" si="310"/>
        <v>-23.109693385826791</v>
      </c>
      <c r="AV186" s="105">
        <f t="shared" si="309"/>
        <v>0</v>
      </c>
      <c r="AX186" s="31"/>
      <c r="AY186" s="15"/>
      <c r="AZ186" s="118"/>
      <c r="BA186" s="118"/>
      <c r="BB186" s="118"/>
      <c r="BC186" s="118"/>
      <c r="BD186" s="8"/>
      <c r="BE186" s="118">
        <f t="shared" si="265"/>
        <v>0</v>
      </c>
      <c r="BF186" s="118">
        <f t="shared" si="266"/>
        <v>0</v>
      </c>
      <c r="BG186" s="118">
        <f t="shared" si="267"/>
        <v>0</v>
      </c>
      <c r="BH186" s="118">
        <f t="shared" si="268"/>
        <v>0</v>
      </c>
      <c r="BI186" s="122">
        <f t="shared" si="269"/>
        <v>0</v>
      </c>
      <c r="BJ186" s="118">
        <f t="shared" si="324"/>
        <v>0</v>
      </c>
      <c r="BK186" s="108" t="s">
        <v>131</v>
      </c>
      <c r="BL186" s="8" t="b">
        <f t="shared" si="325"/>
        <v>1</v>
      </c>
      <c r="BM186" s="128">
        <f t="shared" si="240"/>
        <v>0</v>
      </c>
      <c r="BN186" s="129">
        <f t="shared" si="220"/>
        <v>0</v>
      </c>
      <c r="BR186" s="73">
        <f t="shared" si="326"/>
        <v>0</v>
      </c>
      <c r="BS186" s="73">
        <f t="shared" si="327"/>
        <v>0</v>
      </c>
      <c r="BT186" s="73">
        <f t="shared" si="328"/>
        <v>0</v>
      </c>
      <c r="BU186" s="73">
        <f t="shared" si="329"/>
        <v>0</v>
      </c>
      <c r="BV186" s="73">
        <f t="shared" si="330"/>
        <v>0</v>
      </c>
      <c r="BW186" s="73">
        <f t="shared" si="331"/>
        <v>0</v>
      </c>
      <c r="BX186" s="73">
        <f t="shared" si="332"/>
        <v>0</v>
      </c>
      <c r="BY186" s="73">
        <f t="shared" si="333"/>
        <v>0</v>
      </c>
      <c r="BZ186" s="74">
        <f t="shared" si="334"/>
        <v>0</v>
      </c>
      <c r="CB186" s="75">
        <f t="shared" si="262"/>
        <v>0</v>
      </c>
      <c r="CE186" s="8"/>
      <c r="CJ186" s="70">
        <f t="shared" si="270"/>
        <v>0</v>
      </c>
      <c r="CL186" s="163"/>
      <c r="CM186" s="68"/>
      <c r="CN186" s="20"/>
      <c r="CQ186" s="177">
        <f t="shared" si="263"/>
        <v>23.109693385826787</v>
      </c>
      <c r="CR186" s="177">
        <f t="shared" si="264"/>
        <v>0</v>
      </c>
    </row>
    <row r="187" spans="1:96" ht="56.25" x14ac:dyDescent="0.3">
      <c r="B187" s="51" t="s">
        <v>101</v>
      </c>
      <c r="C187" s="71" t="s">
        <v>392</v>
      </c>
      <c r="D187" s="20" t="s">
        <v>288</v>
      </c>
      <c r="E187" s="27" t="s">
        <v>483</v>
      </c>
      <c r="F187" s="21" t="str">
        <f t="shared" si="312"/>
        <v>нд</v>
      </c>
      <c r="G187" s="46" t="str">
        <f t="shared" si="313"/>
        <v>Ошибка в +</v>
      </c>
      <c r="H187" s="46" t="str">
        <f t="shared" si="314"/>
        <v>нд</v>
      </c>
      <c r="I187" s="22" t="s">
        <v>131</v>
      </c>
      <c r="J187" s="20" t="s">
        <v>131</v>
      </c>
      <c r="K187" s="20">
        <v>0</v>
      </c>
      <c r="L187" s="20">
        <f t="shared" si="335"/>
        <v>10.993716157262394</v>
      </c>
      <c r="M187" s="20">
        <v>0.98959684287085714</v>
      </c>
      <c r="N187" s="20">
        <v>2.4186175545977266</v>
      </c>
      <c r="O187" s="20">
        <v>7.1460778909377973</v>
      </c>
      <c r="P187" s="20">
        <v>0.43942386885601237</v>
      </c>
      <c r="Q187" s="20">
        <v>0</v>
      </c>
      <c r="R187" s="20">
        <f t="shared" si="316"/>
        <v>0</v>
      </c>
      <c r="S187" s="20">
        <f t="shared" si="317"/>
        <v>0</v>
      </c>
      <c r="T187" s="20">
        <f t="shared" si="318"/>
        <v>0</v>
      </c>
      <c r="U187" s="20">
        <f t="shared" si="319"/>
        <v>0</v>
      </c>
      <c r="V187" s="20">
        <v>0</v>
      </c>
      <c r="W187" s="20">
        <f t="shared" si="320"/>
        <v>10.993716157262394</v>
      </c>
      <c r="X187" s="20"/>
      <c r="Y187" s="20">
        <f t="shared" si="321"/>
        <v>8.6937161572623936</v>
      </c>
      <c r="Z187" s="28"/>
      <c r="AA187" s="20">
        <f t="shared" si="322"/>
        <v>0</v>
      </c>
      <c r="AB187" s="20">
        <v>0</v>
      </c>
      <c r="AC187" s="20">
        <v>0</v>
      </c>
      <c r="AD187" s="174">
        <v>2.2999999999999998</v>
      </c>
      <c r="AE187" s="20">
        <v>0</v>
      </c>
      <c r="AF187" s="20">
        <v>0</v>
      </c>
      <c r="AG187" s="20"/>
      <c r="AH187" s="20">
        <v>5.3787911340090773</v>
      </c>
      <c r="AI187" s="20"/>
      <c r="AJ187" s="20">
        <v>5.6149250232533161</v>
      </c>
      <c r="AK187" s="20"/>
      <c r="AL187" s="20">
        <v>0</v>
      </c>
      <c r="AM187" s="20"/>
      <c r="AN187" s="20">
        <f t="shared" si="336"/>
        <v>10.993716157262394</v>
      </c>
      <c r="AO187" s="20">
        <f t="shared" si="337"/>
        <v>0</v>
      </c>
      <c r="AP187" s="94" t="s">
        <v>503</v>
      </c>
      <c r="AQ187" s="86"/>
      <c r="AR187" s="85">
        <f t="shared" si="272"/>
        <v>-2.2999999999999989</v>
      </c>
      <c r="AS187" s="85">
        <f t="shared" si="273"/>
        <v>0</v>
      </c>
      <c r="AT187" s="113">
        <f t="shared" si="310"/>
        <v>-10.993716157262394</v>
      </c>
      <c r="AV187" s="105">
        <f t="shared" si="309"/>
        <v>0</v>
      </c>
      <c r="AX187" s="31"/>
      <c r="AY187" s="15"/>
      <c r="AZ187" s="118"/>
      <c r="BA187" s="118"/>
      <c r="BB187" s="118"/>
      <c r="BC187" s="118"/>
      <c r="BD187" s="8"/>
      <c r="BE187" s="118">
        <f t="shared" si="265"/>
        <v>0</v>
      </c>
      <c r="BF187" s="118">
        <f t="shared" si="266"/>
        <v>0</v>
      </c>
      <c r="BG187" s="118">
        <f t="shared" si="267"/>
        <v>0</v>
      </c>
      <c r="BH187" s="118">
        <f t="shared" si="268"/>
        <v>0</v>
      </c>
      <c r="BI187" s="122">
        <f t="shared" si="269"/>
        <v>0</v>
      </c>
      <c r="BJ187" s="118">
        <f t="shared" si="324"/>
        <v>0</v>
      </c>
      <c r="BK187" s="108" t="s">
        <v>131</v>
      </c>
      <c r="BL187" s="8" t="b">
        <f t="shared" si="325"/>
        <v>1</v>
      </c>
      <c r="BM187" s="128">
        <f t="shared" si="240"/>
        <v>0</v>
      </c>
      <c r="BN187" s="129">
        <f t="shared" si="220"/>
        <v>0</v>
      </c>
      <c r="BR187" s="73">
        <f t="shared" si="326"/>
        <v>0</v>
      </c>
      <c r="BS187" s="73">
        <f t="shared" si="327"/>
        <v>0</v>
      </c>
      <c r="BT187" s="73">
        <f t="shared" si="328"/>
        <v>0</v>
      </c>
      <c r="BU187" s="73">
        <f t="shared" si="329"/>
        <v>0</v>
      </c>
      <c r="BV187" s="73">
        <f t="shared" si="330"/>
        <v>0</v>
      </c>
      <c r="BW187" s="73">
        <f t="shared" si="331"/>
        <v>0</v>
      </c>
      <c r="BX187" s="73">
        <f t="shared" si="332"/>
        <v>0</v>
      </c>
      <c r="BY187" s="73">
        <f t="shared" si="333"/>
        <v>0</v>
      </c>
      <c r="BZ187" s="74">
        <f t="shared" si="334"/>
        <v>0</v>
      </c>
      <c r="CB187" s="75">
        <f t="shared" si="262"/>
        <v>0</v>
      </c>
      <c r="CE187" s="8"/>
      <c r="CJ187" s="70">
        <f t="shared" si="270"/>
        <v>0</v>
      </c>
      <c r="CL187" s="163"/>
      <c r="CM187" s="68"/>
      <c r="CN187" s="20">
        <v>2.2599999999999998</v>
      </c>
      <c r="CQ187" s="177">
        <f t="shared" si="263"/>
        <v>10.993716157262394</v>
      </c>
      <c r="CR187" s="177">
        <f t="shared" si="264"/>
        <v>0</v>
      </c>
    </row>
    <row r="188" spans="1:96" ht="56.25" x14ac:dyDescent="0.3">
      <c r="B188" s="52" t="s">
        <v>103</v>
      </c>
      <c r="C188" s="53" t="s">
        <v>104</v>
      </c>
      <c r="D188" s="23" t="s">
        <v>129</v>
      </c>
      <c r="E188" s="23"/>
      <c r="F188" s="23"/>
      <c r="G188" s="24"/>
      <c r="H188" s="24"/>
      <c r="I188" s="25" t="s">
        <v>131</v>
      </c>
      <c r="J188" s="23">
        <f>J189+J191</f>
        <v>1015.6491000000001</v>
      </c>
      <c r="K188" s="23">
        <f>K189+K191</f>
        <v>13.8309</v>
      </c>
      <c r="L188" s="23">
        <f t="shared" si="335"/>
        <v>4589.7190999999993</v>
      </c>
      <c r="M188" s="23">
        <f t="shared" ref="M188:AM188" si="341">M189+M191</f>
        <v>258.73099999999999</v>
      </c>
      <c r="N188" s="23">
        <f t="shared" si="341"/>
        <v>2039.4279999999999</v>
      </c>
      <c r="O188" s="23">
        <f t="shared" si="341"/>
        <v>2001.5360000000001</v>
      </c>
      <c r="P188" s="23">
        <f t="shared" si="341"/>
        <v>290.02410000000003</v>
      </c>
      <c r="Q188" s="23">
        <f t="shared" si="341"/>
        <v>4387.8819999999996</v>
      </c>
      <c r="R188" s="23">
        <f t="shared" si="341"/>
        <v>259.34718200000003</v>
      </c>
      <c r="S188" s="23">
        <f t="shared" si="341"/>
        <v>2315.5395009999997</v>
      </c>
      <c r="T188" s="23">
        <f t="shared" si="341"/>
        <v>1529.745856</v>
      </c>
      <c r="U188" s="23">
        <f t="shared" si="341"/>
        <v>283.249461</v>
      </c>
      <c r="V188" s="23">
        <f t="shared" si="341"/>
        <v>0</v>
      </c>
      <c r="W188" s="23">
        <f t="shared" si="341"/>
        <v>4575.8881999999994</v>
      </c>
      <c r="X188" s="23">
        <f t="shared" si="341"/>
        <v>0</v>
      </c>
      <c r="Y188" s="23">
        <f t="shared" si="341"/>
        <v>4230.6690999999992</v>
      </c>
      <c r="Z188" s="23">
        <f t="shared" si="341"/>
        <v>0</v>
      </c>
      <c r="AA188" s="23">
        <f t="shared" si="341"/>
        <v>4339.8666999999996</v>
      </c>
      <c r="AB188" s="23">
        <f t="shared" si="341"/>
        <v>18.9191</v>
      </c>
      <c r="AC188" s="23">
        <f t="shared" si="341"/>
        <v>18.9191</v>
      </c>
      <c r="AD188" s="23">
        <f t="shared" si="341"/>
        <v>261.2</v>
      </c>
      <c r="AE188" s="23">
        <f t="shared" si="341"/>
        <v>0</v>
      </c>
      <c r="AF188" s="23">
        <f t="shared" si="341"/>
        <v>65.100000000000009</v>
      </c>
      <c r="AG188" s="23">
        <f t="shared" si="341"/>
        <v>15.2653</v>
      </c>
      <c r="AH188" s="23">
        <f t="shared" si="341"/>
        <v>1082.7</v>
      </c>
      <c r="AI188" s="23">
        <f t="shared" si="341"/>
        <v>1081.8835999999999</v>
      </c>
      <c r="AJ188" s="23">
        <f t="shared" si="341"/>
        <v>805.7</v>
      </c>
      <c r="AK188" s="23">
        <f t="shared" si="341"/>
        <v>362.76162529999999</v>
      </c>
      <c r="AL188" s="23">
        <f t="shared" si="341"/>
        <v>550.6</v>
      </c>
      <c r="AM188" s="23">
        <f t="shared" si="341"/>
        <v>1408.21</v>
      </c>
      <c r="AN188" s="23">
        <f t="shared" si="337"/>
        <v>2765.2999999999997</v>
      </c>
      <c r="AO188" s="23">
        <f t="shared" si="337"/>
        <v>2868.1205252999998</v>
      </c>
      <c r="AP188" s="97" t="s">
        <v>131</v>
      </c>
      <c r="AQ188" s="86"/>
      <c r="AR188" s="85">
        <f t="shared" si="272"/>
        <v>1791.6690999999996</v>
      </c>
      <c r="AS188" s="85">
        <f t="shared" si="273"/>
        <v>1487.0114746999998</v>
      </c>
      <c r="AT188" s="113"/>
      <c r="AV188" s="105">
        <f t="shared" si="309"/>
        <v>1487.0114746999993</v>
      </c>
      <c r="AX188" s="31"/>
      <c r="AY188" s="15"/>
      <c r="AZ188" s="118">
        <v>15.2653</v>
      </c>
      <c r="BA188" s="118">
        <v>1076.1999999999998</v>
      </c>
      <c r="BB188" s="118">
        <v>331.37162530000001</v>
      </c>
      <c r="BC188" s="118">
        <v>1067.25245503</v>
      </c>
      <c r="BD188" s="8"/>
      <c r="BE188" s="118">
        <f t="shared" si="265"/>
        <v>0</v>
      </c>
      <c r="BF188" s="118">
        <f t="shared" si="266"/>
        <v>5.6836000000000695</v>
      </c>
      <c r="BG188" s="118">
        <f t="shared" si="267"/>
        <v>31.389999999999986</v>
      </c>
      <c r="BH188" s="118">
        <f t="shared" si="268"/>
        <v>340.95754497000007</v>
      </c>
      <c r="BI188" s="122">
        <f t="shared" si="269"/>
        <v>378.03114497000013</v>
      </c>
      <c r="BJ188" s="123"/>
      <c r="BK188" s="108"/>
      <c r="BM188" s="128">
        <f t="shared" si="240"/>
        <v>2900.8705252999998</v>
      </c>
      <c r="BN188" s="129">
        <f t="shared" si="220"/>
        <v>-1487.0114746999998</v>
      </c>
      <c r="CB188" s="75">
        <f t="shared" si="262"/>
        <v>4110.2750344235146</v>
      </c>
      <c r="CJ188" s="70">
        <f t="shared" si="270"/>
        <v>-5.6843418860808015E-13</v>
      </c>
      <c r="CL188" s="163"/>
      <c r="CM188" s="68"/>
      <c r="CN188" s="23">
        <f t="shared" ref="CN188" si="342">CN189+CN191</f>
        <v>261.2</v>
      </c>
      <c r="CQ188" s="177">
        <f t="shared" si="263"/>
        <v>2454.2653</v>
      </c>
      <c r="CR188" s="177">
        <f t="shared" si="264"/>
        <v>-311.0346999999997</v>
      </c>
    </row>
    <row r="189" spans="1:96" ht="37.5" x14ac:dyDescent="0.3">
      <c r="B189" s="54" t="s">
        <v>105</v>
      </c>
      <c r="C189" s="55" t="s">
        <v>106</v>
      </c>
      <c r="D189" s="35" t="s">
        <v>129</v>
      </c>
      <c r="E189" s="35"/>
      <c r="F189" s="35"/>
      <c r="G189" s="36"/>
      <c r="H189" s="36"/>
      <c r="I189" s="37" t="s">
        <v>131</v>
      </c>
      <c r="J189" s="35">
        <f>SUM(J190)</f>
        <v>0</v>
      </c>
      <c r="K189" s="35">
        <f>SUM(K190)</f>
        <v>0</v>
      </c>
      <c r="L189" s="35">
        <f>M189+N189+O189+P189</f>
        <v>0</v>
      </c>
      <c r="M189" s="35">
        <f t="shared" ref="M189:V189" si="343">SUM(M190)</f>
        <v>0</v>
      </c>
      <c r="N189" s="35">
        <f t="shared" si="343"/>
        <v>0</v>
      </c>
      <c r="O189" s="35">
        <f t="shared" si="343"/>
        <v>0</v>
      </c>
      <c r="P189" s="35">
        <f t="shared" si="343"/>
        <v>0</v>
      </c>
      <c r="Q189" s="35">
        <f t="shared" si="343"/>
        <v>0</v>
      </c>
      <c r="R189" s="35">
        <f t="shared" si="343"/>
        <v>0</v>
      </c>
      <c r="S189" s="35">
        <f t="shared" si="343"/>
        <v>0</v>
      </c>
      <c r="T189" s="35">
        <f t="shared" si="343"/>
        <v>0</v>
      </c>
      <c r="U189" s="35">
        <f t="shared" si="343"/>
        <v>0</v>
      </c>
      <c r="V189" s="35">
        <f t="shared" si="343"/>
        <v>0</v>
      </c>
      <c r="W189" s="35">
        <f t="shared" ref="W189:W252" si="344">L189-K189</f>
        <v>0</v>
      </c>
      <c r="X189" s="35">
        <f>SUM(X190)</f>
        <v>0</v>
      </c>
      <c r="Y189" s="35">
        <f t="shared" ref="Y189" si="345">W189</f>
        <v>0</v>
      </c>
      <c r="Z189" s="35">
        <f>SUM(Z190)</f>
        <v>0</v>
      </c>
      <c r="AA189" s="35">
        <f t="shared" ref="AA189:AA217" si="346">Q189-(K189+AC189+AE189)</f>
        <v>0</v>
      </c>
      <c r="AB189" s="35">
        <f t="shared" ref="AB189:AM189" si="347">SUM(AB190)</f>
        <v>0</v>
      </c>
      <c r="AC189" s="35">
        <f t="shared" si="347"/>
        <v>0</v>
      </c>
      <c r="AD189" s="35">
        <f t="shared" si="347"/>
        <v>0</v>
      </c>
      <c r="AE189" s="35">
        <f t="shared" si="347"/>
        <v>0</v>
      </c>
      <c r="AF189" s="35">
        <f t="shared" si="347"/>
        <v>0</v>
      </c>
      <c r="AG189" s="35">
        <f t="shared" si="347"/>
        <v>0</v>
      </c>
      <c r="AH189" s="35">
        <f t="shared" si="347"/>
        <v>0</v>
      </c>
      <c r="AI189" s="35">
        <f t="shared" si="347"/>
        <v>0</v>
      </c>
      <c r="AJ189" s="35">
        <f t="shared" si="347"/>
        <v>0</v>
      </c>
      <c r="AK189" s="35">
        <f t="shared" si="347"/>
        <v>0</v>
      </c>
      <c r="AL189" s="35">
        <f t="shared" si="347"/>
        <v>0</v>
      </c>
      <c r="AM189" s="35">
        <f t="shared" si="347"/>
        <v>0</v>
      </c>
      <c r="AN189" s="35">
        <f t="shared" si="337"/>
        <v>0</v>
      </c>
      <c r="AO189" s="35">
        <f t="shared" si="337"/>
        <v>0</v>
      </c>
      <c r="AP189" s="98" t="s">
        <v>131</v>
      </c>
      <c r="AQ189" s="86"/>
      <c r="AR189" s="85">
        <f t="shared" si="272"/>
        <v>0</v>
      </c>
      <c r="AS189" s="85">
        <f t="shared" si="273"/>
        <v>0</v>
      </c>
      <c r="AT189" s="113"/>
      <c r="AV189" s="105">
        <f t="shared" si="309"/>
        <v>0</v>
      </c>
      <c r="AX189" s="31"/>
      <c r="AY189" s="15"/>
      <c r="AZ189" s="118">
        <v>0</v>
      </c>
      <c r="BA189" s="118">
        <v>0</v>
      </c>
      <c r="BB189" s="118">
        <v>0</v>
      </c>
      <c r="BC189" s="118">
        <v>0</v>
      </c>
      <c r="BD189" s="8"/>
      <c r="BE189" s="118">
        <f t="shared" si="265"/>
        <v>0</v>
      </c>
      <c r="BF189" s="118">
        <f t="shared" si="266"/>
        <v>0</v>
      </c>
      <c r="BG189" s="118">
        <f t="shared" si="267"/>
        <v>0</v>
      </c>
      <c r="BH189" s="118">
        <f t="shared" si="268"/>
        <v>0</v>
      </c>
      <c r="BI189" s="122">
        <f t="shared" si="269"/>
        <v>0</v>
      </c>
      <c r="BJ189" s="123"/>
      <c r="BK189" s="108"/>
      <c r="BM189" s="128">
        <f t="shared" si="240"/>
        <v>0</v>
      </c>
      <c r="BN189" s="129">
        <f t="shared" si="220"/>
        <v>0</v>
      </c>
      <c r="CB189" s="75">
        <f t="shared" si="262"/>
        <v>0</v>
      </c>
      <c r="CJ189" s="70">
        <f t="shared" si="270"/>
        <v>0</v>
      </c>
      <c r="CL189" s="163"/>
      <c r="CM189" s="68"/>
      <c r="CN189" s="35">
        <f t="shared" ref="CN189" si="348">SUM(CN190)</f>
        <v>0</v>
      </c>
      <c r="CQ189" s="177">
        <f t="shared" si="263"/>
        <v>0</v>
      </c>
      <c r="CR189" s="177">
        <f t="shared" si="264"/>
        <v>0</v>
      </c>
    </row>
    <row r="190" spans="1:96" ht="66" x14ac:dyDescent="0.3">
      <c r="A190" s="44" t="s">
        <v>525</v>
      </c>
      <c r="B190" s="51" t="s">
        <v>105</v>
      </c>
      <c r="C190" s="71" t="s">
        <v>493</v>
      </c>
      <c r="D190" s="20" t="s">
        <v>302</v>
      </c>
      <c r="E190" s="27" t="s">
        <v>483</v>
      </c>
      <c r="F190" s="21" t="str">
        <f>IF(K190&gt;0,2018,IF(AC190&gt;0,2019,IF(AE190&gt;0,2020,IF(AG190&gt;0,2021,IF(AI190&gt;0,2022,IF(AK190&gt;0,2023,IF(AM190&gt;0,2024,"нд")))))))</f>
        <v>нд</v>
      </c>
      <c r="G190" s="46" t="str">
        <f>IF(AND(L190-(K190+AB190+AD190+AF190+AH190+AJ190+AL190)&lt;0.1,L190-(K190+AB190+AD190+AF190+AH190+AJ190+AL190)&gt;0.00001),"Ошибка в -",IF((K190+AB190+AD190+AF190+AH190+AJ190+AL190)&gt;L190,"Ошибка в +",IF(L190&gt;(K190+AB190+AD190+AF190+AH190+AJ190+AL190),2025,IF(AL190&gt;0,2024,IF(AJ190&gt;0,2023,IF(AH190&gt;0,2022,IF(AF190&gt;0,2021,IF(AD190&gt;0,2020,IF(AB190&gt;0,2019,IF(K190&gt;0,2018,"нд"))))))))))</f>
        <v>нд</v>
      </c>
      <c r="H190" s="46" t="str">
        <f>IF(AND((Q190-(K190+AC190+AE190+AG190+AI190+AK190+AM190))&lt;0.1,Q190-(K190+AC190+AE190+AG190+AI190+AK190+AM190)&gt;0.0001),"Ошибка в -",IF((K190+AC190+AE190+AG190+AI190+AK190+AM190)&gt;Q190,"Ошибка в +",IF(Q190&gt;(K190+AC190+AE190+AG190+AI190+AK190+AM190),2025,IF(AM190&gt;0,2024,IF(AK190&gt;0,2023,IF(AI190&gt;0,2022,IF(AG190&gt;0,2021,IF(AE190&gt;0,2020,IF(AC190&gt;0,2019,IF(K190&gt;0,2018,"нд"))))))))))</f>
        <v>нд</v>
      </c>
      <c r="I190" s="22" t="s">
        <v>131</v>
      </c>
      <c r="J190" s="20" t="s">
        <v>131</v>
      </c>
      <c r="K190" s="20">
        <v>0</v>
      </c>
      <c r="L190" s="20">
        <f t="shared" si="335"/>
        <v>0</v>
      </c>
      <c r="M190" s="20">
        <v>0</v>
      </c>
      <c r="N190" s="20">
        <v>0</v>
      </c>
      <c r="O190" s="20">
        <v>0</v>
      </c>
      <c r="P190" s="20">
        <v>0</v>
      </c>
      <c r="Q190" s="20">
        <v>0</v>
      </c>
      <c r="R190" s="20">
        <f>0.06*Q190</f>
        <v>0</v>
      </c>
      <c r="S190" s="20">
        <f>0.36*Q190</f>
        <v>0</v>
      </c>
      <c r="T190" s="20">
        <f>0.5*Q190</f>
        <v>0</v>
      </c>
      <c r="U190" s="20">
        <f>0.08*Q190</f>
        <v>0</v>
      </c>
      <c r="V190" s="20">
        <v>0</v>
      </c>
      <c r="W190" s="20">
        <f t="shared" si="344"/>
        <v>0</v>
      </c>
      <c r="X190" s="20"/>
      <c r="Y190" s="20">
        <f t="shared" ref="Y190" si="349">W190-(AB190+AD190+AF190)</f>
        <v>0</v>
      </c>
      <c r="Z190" s="28"/>
      <c r="AA190" s="20">
        <f t="shared" ref="AA190" si="350">Q190-(K190+AC190+AE190+AG190)</f>
        <v>0</v>
      </c>
      <c r="AB190" s="20">
        <v>0</v>
      </c>
      <c r="AC190" s="20">
        <v>0</v>
      </c>
      <c r="AD190" s="20">
        <v>0</v>
      </c>
      <c r="AE190" s="20"/>
      <c r="AF190" s="20"/>
      <c r="AG190" s="20"/>
      <c r="AH190" s="20"/>
      <c r="AI190" s="20"/>
      <c r="AJ190" s="20"/>
      <c r="AK190" s="20"/>
      <c r="AL190" s="20"/>
      <c r="AM190" s="20"/>
      <c r="AN190" s="20">
        <f t="shared" si="337"/>
        <v>0</v>
      </c>
      <c r="AO190" s="20">
        <f t="shared" si="337"/>
        <v>0</v>
      </c>
      <c r="AP190" s="94" t="s">
        <v>517</v>
      </c>
      <c r="AQ190" s="86"/>
      <c r="AR190" s="85">
        <f t="shared" si="272"/>
        <v>0</v>
      </c>
      <c r="AS190" s="85">
        <f t="shared" si="273"/>
        <v>0</v>
      </c>
      <c r="AT190" s="113">
        <f t="shared" si="310"/>
        <v>0</v>
      </c>
      <c r="AV190" s="105">
        <f t="shared" si="309"/>
        <v>0</v>
      </c>
      <c r="AX190" s="31"/>
      <c r="AY190" s="15"/>
      <c r="AZ190" s="118"/>
      <c r="BA190" s="118"/>
      <c r="BB190" s="118"/>
      <c r="BC190" s="118"/>
      <c r="BD190" s="8"/>
      <c r="BE190" s="118">
        <f t="shared" si="265"/>
        <v>0</v>
      </c>
      <c r="BF190" s="118">
        <f t="shared" si="266"/>
        <v>0</v>
      </c>
      <c r="BG190" s="118">
        <f t="shared" si="267"/>
        <v>0</v>
      </c>
      <c r="BH190" s="118">
        <f t="shared" si="268"/>
        <v>0</v>
      </c>
      <c r="BI190" s="122">
        <f t="shared" si="269"/>
        <v>0</v>
      </c>
      <c r="BJ190" s="118">
        <f>(AO190+AC190+K190)-Q190</f>
        <v>0</v>
      </c>
      <c r="BK190" s="108" t="s">
        <v>131</v>
      </c>
      <c r="BL190" s="8" t="b">
        <f>EXACT(BK190,H190)</f>
        <v>1</v>
      </c>
      <c r="BM190" s="128">
        <f t="shared" si="240"/>
        <v>0</v>
      </c>
      <c r="BN190" s="129">
        <f t="shared" si="220"/>
        <v>0</v>
      </c>
      <c r="BR190" s="73">
        <f>K190/$BR$15</f>
        <v>0</v>
      </c>
      <c r="BS190" s="73">
        <f>AC190/$BS$15</f>
        <v>0</v>
      </c>
      <c r="BT190" s="73">
        <f>AE190/$BT$15</f>
        <v>0</v>
      </c>
      <c r="BU190" s="73">
        <f>AG190/$BU$15</f>
        <v>0</v>
      </c>
      <c r="BV190" s="73">
        <f>AI190/$BV$15</f>
        <v>0</v>
      </c>
      <c r="BW190" s="73">
        <f>AK190/$BW$15</f>
        <v>0</v>
      </c>
      <c r="BX190" s="73">
        <f>AM190/$BX$15</f>
        <v>0</v>
      </c>
      <c r="BY190" s="73">
        <f>(Q190-K190-AC190-AE190-AG190-AI190-AK190-AM190)/$BY$15</f>
        <v>0</v>
      </c>
      <c r="BZ190" s="74">
        <f>SUM(BR190:BY190)*1.2</f>
        <v>0</v>
      </c>
      <c r="CB190" s="75">
        <f t="shared" si="262"/>
        <v>0</v>
      </c>
      <c r="CE190" s="8"/>
      <c r="CJ190" s="70">
        <f t="shared" si="270"/>
        <v>0</v>
      </c>
      <c r="CL190" s="163"/>
      <c r="CM190" s="68"/>
      <c r="CN190" s="20"/>
      <c r="CQ190" s="177">
        <f t="shared" si="263"/>
        <v>0</v>
      </c>
      <c r="CR190" s="177">
        <f t="shared" si="264"/>
        <v>0</v>
      </c>
    </row>
    <row r="191" spans="1:96" ht="37.5" x14ac:dyDescent="0.3">
      <c r="B191" s="54" t="s">
        <v>107</v>
      </c>
      <c r="C191" s="55" t="s">
        <v>108</v>
      </c>
      <c r="D191" s="35" t="s">
        <v>129</v>
      </c>
      <c r="E191" s="35"/>
      <c r="F191" s="35"/>
      <c r="G191" s="36"/>
      <c r="H191" s="36"/>
      <c r="I191" s="37" t="s">
        <v>131</v>
      </c>
      <c r="J191" s="35">
        <f>SUM(J192:J200)</f>
        <v>1015.6491000000001</v>
      </c>
      <c r="K191" s="35">
        <f>SUM(K192:K200)</f>
        <v>13.8309</v>
      </c>
      <c r="L191" s="35">
        <f t="shared" si="335"/>
        <v>4589.7190999999993</v>
      </c>
      <c r="M191" s="35">
        <f t="shared" ref="M191:AM191" si="351">SUM(M192:M200)</f>
        <v>258.73099999999999</v>
      </c>
      <c r="N191" s="35">
        <f t="shared" si="351"/>
        <v>2039.4279999999999</v>
      </c>
      <c r="O191" s="35">
        <f t="shared" si="351"/>
        <v>2001.5360000000001</v>
      </c>
      <c r="P191" s="35">
        <f t="shared" si="351"/>
        <v>290.02410000000003</v>
      </c>
      <c r="Q191" s="35">
        <f t="shared" si="351"/>
        <v>4387.8819999999996</v>
      </c>
      <c r="R191" s="35">
        <f t="shared" si="351"/>
        <v>259.34718200000003</v>
      </c>
      <c r="S191" s="35">
        <f t="shared" si="351"/>
        <v>2315.5395009999997</v>
      </c>
      <c r="T191" s="35">
        <f t="shared" si="351"/>
        <v>1529.745856</v>
      </c>
      <c r="U191" s="35">
        <f t="shared" si="351"/>
        <v>283.249461</v>
      </c>
      <c r="V191" s="35">
        <f t="shared" si="351"/>
        <v>0</v>
      </c>
      <c r="W191" s="35">
        <f t="shared" si="351"/>
        <v>4575.8881999999994</v>
      </c>
      <c r="X191" s="35">
        <f t="shared" si="351"/>
        <v>0</v>
      </c>
      <c r="Y191" s="35">
        <f t="shared" si="351"/>
        <v>4230.6690999999992</v>
      </c>
      <c r="Z191" s="35">
        <f t="shared" si="351"/>
        <v>0</v>
      </c>
      <c r="AA191" s="35">
        <f t="shared" si="351"/>
        <v>4339.8666999999996</v>
      </c>
      <c r="AB191" s="35">
        <f t="shared" si="351"/>
        <v>18.9191</v>
      </c>
      <c r="AC191" s="35">
        <f t="shared" si="351"/>
        <v>18.9191</v>
      </c>
      <c r="AD191" s="35">
        <f t="shared" si="351"/>
        <v>261.2</v>
      </c>
      <c r="AE191" s="35">
        <f t="shared" si="351"/>
        <v>0</v>
      </c>
      <c r="AF191" s="35">
        <f t="shared" si="351"/>
        <v>65.100000000000009</v>
      </c>
      <c r="AG191" s="35">
        <f t="shared" si="351"/>
        <v>15.2653</v>
      </c>
      <c r="AH191" s="35">
        <f t="shared" si="351"/>
        <v>1082.7</v>
      </c>
      <c r="AI191" s="35">
        <f t="shared" si="351"/>
        <v>1081.8835999999999</v>
      </c>
      <c r="AJ191" s="35">
        <f t="shared" si="351"/>
        <v>805.7</v>
      </c>
      <c r="AK191" s="35">
        <f t="shared" si="351"/>
        <v>362.76162529999999</v>
      </c>
      <c r="AL191" s="35">
        <f t="shared" si="351"/>
        <v>550.6</v>
      </c>
      <c r="AM191" s="35">
        <f t="shared" si="351"/>
        <v>1408.21</v>
      </c>
      <c r="AN191" s="35">
        <f t="shared" si="337"/>
        <v>2765.2999999999997</v>
      </c>
      <c r="AO191" s="35">
        <f t="shared" si="337"/>
        <v>2868.1205252999998</v>
      </c>
      <c r="AP191" s="98" t="s">
        <v>131</v>
      </c>
      <c r="AQ191" s="86"/>
      <c r="AR191" s="85">
        <f t="shared" si="272"/>
        <v>1791.6690999999996</v>
      </c>
      <c r="AS191" s="85">
        <f t="shared" si="273"/>
        <v>1487.0114746999998</v>
      </c>
      <c r="AT191" s="113"/>
      <c r="AV191" s="105">
        <f t="shared" si="309"/>
        <v>1487.0114746999993</v>
      </c>
      <c r="AX191" s="31"/>
      <c r="AY191" s="15"/>
      <c r="AZ191" s="118">
        <v>15.2653</v>
      </c>
      <c r="BA191" s="118">
        <v>1076.1999999999998</v>
      </c>
      <c r="BB191" s="118">
        <v>331.37162530000001</v>
      </c>
      <c r="BC191" s="118">
        <v>1067.25245503</v>
      </c>
      <c r="BD191" s="8"/>
      <c r="BE191" s="118">
        <f t="shared" si="265"/>
        <v>0</v>
      </c>
      <c r="BF191" s="118">
        <f t="shared" si="266"/>
        <v>5.6836000000000695</v>
      </c>
      <c r="BG191" s="118">
        <f t="shared" si="267"/>
        <v>31.389999999999986</v>
      </c>
      <c r="BH191" s="118">
        <f t="shared" si="268"/>
        <v>340.95754497000007</v>
      </c>
      <c r="BI191" s="122">
        <f t="shared" si="269"/>
        <v>378.03114497000013</v>
      </c>
      <c r="BJ191" s="123"/>
      <c r="BK191" s="108"/>
      <c r="BM191" s="128">
        <f t="shared" si="240"/>
        <v>2900.8705252999998</v>
      </c>
      <c r="BN191" s="129">
        <f t="shared" ref="BN191:BN254" si="352">BM191-Q191</f>
        <v>-1487.0114746999998</v>
      </c>
      <c r="CB191" s="75">
        <f t="shared" si="262"/>
        <v>4110.2750344235146</v>
      </c>
      <c r="CJ191" s="70">
        <f t="shared" si="270"/>
        <v>-5.6843418860808015E-13</v>
      </c>
      <c r="CL191" s="163"/>
      <c r="CM191" s="68"/>
      <c r="CN191" s="35">
        <f t="shared" ref="CN191" si="353">SUM(CN192:CN200)</f>
        <v>261.2</v>
      </c>
      <c r="CQ191" s="177">
        <f t="shared" si="263"/>
        <v>2454.2653</v>
      </c>
      <c r="CR191" s="177">
        <f t="shared" si="264"/>
        <v>-311.0346999999997</v>
      </c>
    </row>
    <row r="192" spans="1:96" s="8" customFormat="1" ht="36.75" customHeight="1" x14ac:dyDescent="0.3">
      <c r="A192" s="44" t="s">
        <v>525</v>
      </c>
      <c r="B192" s="51" t="s">
        <v>107</v>
      </c>
      <c r="C192" s="76" t="s">
        <v>111</v>
      </c>
      <c r="D192" s="46" t="s">
        <v>207</v>
      </c>
      <c r="E192" s="20" t="s">
        <v>488</v>
      </c>
      <c r="F192" s="21">
        <f t="shared" ref="F192:F200" si="354">IF(K192&gt;0,2018,IF(AC192&gt;0,2019,IF(AE192&gt;0,2020,IF(AG192&gt;0,2021,IF(AI192&gt;0,2022,IF(AK192&gt;0,2023,IF(AM192&gt;0,2024,"нд")))))))</f>
        <v>2019</v>
      </c>
      <c r="G192" s="46" t="str">
        <f t="shared" ref="G192:G200" si="355">IF(AND(L192-(K192+AB192+AD192+AF192+AH192+AJ192+AL192)&lt;0.1,L192-(K192+AB192+AD192+AF192+AH192+AJ192+AL192)&gt;0.00001),"Ошибка в -",IF((K192+AB192+AD192+AF192+AH192+AJ192+AL192)&gt;L192,"Ошибка в +",IF(L192&gt;(K192+AB192+AD192+AF192+AH192+AJ192+AL192),2025,IF(AL192&gt;0,2024,IF(AJ192&gt;0,2023,IF(AH192&gt;0,2022,IF(AF192&gt;0,2021,IF(AD192&gt;0,2020,IF(AB192&gt;0,2019,IF(K192&gt;0,2018,"нд"))))))))))</f>
        <v>Ошибка в +</v>
      </c>
      <c r="H192" s="46">
        <f t="shared" ref="H192:H200" si="356">IF(AND((Q192-(K192+AC192+AE192+AG192+AI192+AK192+AM192))&lt;0.1,Q192-(K192+AC192+AE192+AG192+AI192+AK192+AM192)&gt;0.0001),"Ошибка в -",IF((K192+AC192+AE192+AG192+AI192+AK192+AM192)&gt;Q192,"Ошибка в +",IF(Q192&gt;(K192+AC192+AE192+AG192+AI192+AK192+AM192),2025,IF(AM192&gt;0,2024,IF(AK192&gt;0,2023,IF(AI192&gt;0,2022,IF(AG192&gt;0,2021,IF(AE192&gt;0,2020,IF(AC192&gt;0,2019,IF(K192&gt;0,2018,"нд"))))))))))</f>
        <v>2022</v>
      </c>
      <c r="I192" s="29" t="s">
        <v>131</v>
      </c>
      <c r="J192" s="28">
        <v>686.08900000000006</v>
      </c>
      <c r="K192" s="20">
        <v>0</v>
      </c>
      <c r="L192" s="20">
        <f t="shared" si="335"/>
        <v>755.51909999999998</v>
      </c>
      <c r="M192" s="20">
        <v>37.774999999999999</v>
      </c>
      <c r="N192" s="20">
        <v>188.875</v>
      </c>
      <c r="O192" s="20">
        <v>483.52</v>
      </c>
      <c r="P192" s="20">
        <f>45.33+0.0191</f>
        <v>45.3491</v>
      </c>
      <c r="Q192" s="20">
        <v>718.92790000000002</v>
      </c>
      <c r="R192" s="20">
        <f>0.05*Q192</f>
        <v>35.946395000000003</v>
      </c>
      <c r="S192" s="20">
        <f>0.25*Q192</f>
        <v>179.73197500000001</v>
      </c>
      <c r="T192" s="20">
        <f>0.64*Q192</f>
        <v>460.113856</v>
      </c>
      <c r="U192" s="20">
        <f>0.06*Q192</f>
        <v>43.135674000000002</v>
      </c>
      <c r="V192" s="20">
        <v>0</v>
      </c>
      <c r="W192" s="20">
        <f t="shared" ref="W192:W200" si="357">L192-K192</f>
        <v>755.51909999999998</v>
      </c>
      <c r="X192" s="20"/>
      <c r="Y192" s="20">
        <f t="shared" ref="Y192:Y200" si="358">W192-(AB192+AD192+AF192)</f>
        <v>712.8</v>
      </c>
      <c r="Z192" s="28"/>
      <c r="AA192" s="20">
        <f t="shared" ref="AA192:AA200" si="359">Q192-(K192+AC192+AE192+AG192)</f>
        <v>699.95</v>
      </c>
      <c r="AB192" s="28">
        <v>18.9191</v>
      </c>
      <c r="AC192" s="20">
        <v>18.9191</v>
      </c>
      <c r="AD192" s="176">
        <v>23.8</v>
      </c>
      <c r="AE192" s="28">
        <v>0</v>
      </c>
      <c r="AF192" s="28"/>
      <c r="AG192" s="28">
        <v>5.8799999999999991E-2</v>
      </c>
      <c r="AH192" s="28">
        <v>736.6</v>
      </c>
      <c r="AI192" s="28">
        <v>699.95</v>
      </c>
      <c r="AJ192" s="28"/>
      <c r="AK192" s="28"/>
      <c r="AL192" s="28"/>
      <c r="AM192" s="28"/>
      <c r="AN192" s="20">
        <v>736.6</v>
      </c>
      <c r="AO192" s="20">
        <f t="shared" si="337"/>
        <v>700.00880000000006</v>
      </c>
      <c r="AP192" s="94"/>
      <c r="AQ192" s="86"/>
      <c r="AR192" s="85">
        <f t="shared" si="272"/>
        <v>-23.800000000000068</v>
      </c>
      <c r="AS192" s="112">
        <f t="shared" si="273"/>
        <v>0</v>
      </c>
      <c r="AT192" s="113">
        <f t="shared" si="310"/>
        <v>-36.591199999999958</v>
      </c>
      <c r="AV192" s="105">
        <f t="shared" si="309"/>
        <v>0</v>
      </c>
      <c r="AX192" s="31">
        <f>J192-Q192</f>
        <v>-32.838899999999967</v>
      </c>
      <c r="AY192" s="166"/>
      <c r="AZ192" s="118">
        <v>5.8799999999999991E-2</v>
      </c>
      <c r="BA192" s="118">
        <v>699.95</v>
      </c>
      <c r="BB192" s="118"/>
      <c r="BC192" s="118"/>
      <c r="BE192" s="118">
        <f t="shared" si="265"/>
        <v>0</v>
      </c>
      <c r="BF192" s="118">
        <f t="shared" si="266"/>
        <v>0</v>
      </c>
      <c r="BG192" s="118">
        <f t="shared" si="267"/>
        <v>0</v>
      </c>
      <c r="BH192" s="118">
        <f t="shared" si="268"/>
        <v>0</v>
      </c>
      <c r="BI192" s="122">
        <f t="shared" si="269"/>
        <v>0</v>
      </c>
      <c r="BJ192" s="118">
        <f t="shared" ref="BJ192:BJ200" si="360">(AO192+AC192+K192)-Q192</f>
        <v>0</v>
      </c>
      <c r="BK192" s="44">
        <v>2022</v>
      </c>
      <c r="BL192" s="8" t="b">
        <f t="shared" ref="BL192:BL200" si="361">EXACT(BK192,H192)</f>
        <v>1</v>
      </c>
      <c r="BM192" s="128">
        <f t="shared" si="240"/>
        <v>718.92790000000002</v>
      </c>
      <c r="BN192" s="129">
        <f t="shared" si="352"/>
        <v>0</v>
      </c>
      <c r="BR192" s="73">
        <f t="shared" ref="BR192:BR200" si="362">K192/$BR$15</f>
        <v>0</v>
      </c>
      <c r="BS192" s="73">
        <f t="shared" ref="BS192:BS200" si="363">AC192/$BS$15</f>
        <v>18.018190476190476</v>
      </c>
      <c r="BT192" s="73">
        <f t="shared" ref="BT192:BT200" si="364">AE192/$BT$15</f>
        <v>0</v>
      </c>
      <c r="BU192" s="73">
        <f t="shared" ref="BU192:BU200" si="365">AG192/$BU$15</f>
        <v>5.1480891669266345E-2</v>
      </c>
      <c r="BV192" s="73">
        <f t="shared" ref="BV192:BV200" si="366">AI192/$BV$15</f>
        <v>587.44599088845519</v>
      </c>
      <c r="BW192" s="73">
        <f t="shared" ref="BW192:BW200" si="367">AK192/$BW$15</f>
        <v>0</v>
      </c>
      <c r="BX192" s="73">
        <f t="shared" ref="BX192:BX200" si="368">AM192/$BX$15</f>
        <v>0</v>
      </c>
      <c r="BY192" s="73">
        <f t="shared" ref="BY192:BY200" si="369">(Q192-K192-AC192-AE192-AG192-AI192-AK192-AM192)/$BY$15</f>
        <v>0</v>
      </c>
      <c r="BZ192" s="74">
        <f t="shared" ref="BZ192:BZ200" si="370">SUM(BR192:BY192)*1.2</f>
        <v>726.61879470757788</v>
      </c>
      <c r="CB192" s="75">
        <f t="shared" si="262"/>
        <v>726.61879470757788</v>
      </c>
      <c r="CJ192" s="70">
        <f t="shared" si="270"/>
        <v>-6.3948846218409017E-14</v>
      </c>
      <c r="CK192" s="166"/>
      <c r="CL192" s="163"/>
      <c r="CM192" s="68"/>
      <c r="CN192" s="28">
        <v>23.8</v>
      </c>
      <c r="CQ192" s="177">
        <f t="shared" si="263"/>
        <v>736.65880000000004</v>
      </c>
      <c r="CR192" s="177">
        <f t="shared" si="264"/>
        <v>5.8800000000019281E-2</v>
      </c>
    </row>
    <row r="193" spans="1:96" s="8" customFormat="1" ht="56.25" customHeight="1" x14ac:dyDescent="0.3">
      <c r="A193" s="44" t="s">
        <v>525</v>
      </c>
      <c r="B193" s="51" t="s">
        <v>107</v>
      </c>
      <c r="C193" s="76" t="s">
        <v>166</v>
      </c>
      <c r="D193" s="20" t="s">
        <v>307</v>
      </c>
      <c r="E193" s="20" t="s">
        <v>181</v>
      </c>
      <c r="F193" s="21">
        <f t="shared" si="354"/>
        <v>2018</v>
      </c>
      <c r="G193" s="46">
        <f t="shared" si="355"/>
        <v>2025</v>
      </c>
      <c r="H193" s="46">
        <f t="shared" si="356"/>
        <v>2025</v>
      </c>
      <c r="I193" s="29" t="s">
        <v>131</v>
      </c>
      <c r="J193" s="28" t="s">
        <v>131</v>
      </c>
      <c r="K193" s="93">
        <v>13.8309</v>
      </c>
      <c r="L193" s="20">
        <f t="shared" si="335"/>
        <v>648.9</v>
      </c>
      <c r="M193" s="20">
        <v>32.445</v>
      </c>
      <c r="N193" s="20">
        <v>162.22499999999999</v>
      </c>
      <c r="O193" s="20">
        <v>415.29599999999999</v>
      </c>
      <c r="P193" s="20">
        <v>38.933999999999997</v>
      </c>
      <c r="Q193" s="20">
        <v>648.9</v>
      </c>
      <c r="R193" s="20">
        <f>0.05*Q193</f>
        <v>32.445</v>
      </c>
      <c r="S193" s="20">
        <f>0.25*Q193</f>
        <v>162.22499999999999</v>
      </c>
      <c r="T193" s="20">
        <f>0.64*Q193</f>
        <v>415.29599999999999</v>
      </c>
      <c r="U193" s="20">
        <f>0.06*Q193</f>
        <v>38.933999999999997</v>
      </c>
      <c r="V193" s="20">
        <v>0</v>
      </c>
      <c r="W193" s="20">
        <f t="shared" si="357"/>
        <v>635.06909999999993</v>
      </c>
      <c r="X193" s="20"/>
      <c r="Y193" s="20">
        <f t="shared" si="358"/>
        <v>612.76909999999998</v>
      </c>
      <c r="Z193" s="28"/>
      <c r="AA193" s="20">
        <f t="shared" si="359"/>
        <v>635.06909999999993</v>
      </c>
      <c r="AB193" s="28">
        <v>0</v>
      </c>
      <c r="AC193" s="20">
        <v>0</v>
      </c>
      <c r="AD193" s="176">
        <v>22.3</v>
      </c>
      <c r="AE193" s="28">
        <v>0</v>
      </c>
      <c r="AF193" s="28"/>
      <c r="AG193" s="28"/>
      <c r="AH193" s="28"/>
      <c r="AI193" s="28"/>
      <c r="AJ193" s="28"/>
      <c r="AK193" s="28"/>
      <c r="AL193" s="28">
        <v>47.1</v>
      </c>
      <c r="AM193" s="28"/>
      <c r="AN193" s="20">
        <f>SUM(AF193+AH193+AJ193+AL193)</f>
        <v>47.1</v>
      </c>
      <c r="AO193" s="20">
        <f t="shared" si="337"/>
        <v>0</v>
      </c>
      <c r="AP193" s="94" t="s">
        <v>552</v>
      </c>
      <c r="AQ193" s="86"/>
      <c r="AR193" s="85">
        <f t="shared" si="272"/>
        <v>565.66909999999996</v>
      </c>
      <c r="AS193" s="85">
        <f t="shared" si="273"/>
        <v>635.06909999999993</v>
      </c>
      <c r="AT193" s="113">
        <f t="shared" si="310"/>
        <v>0</v>
      </c>
      <c r="AV193" s="105">
        <f t="shared" si="309"/>
        <v>635.06909999999993</v>
      </c>
      <c r="AX193" s="31"/>
      <c r="AY193" s="166"/>
      <c r="AZ193" s="118"/>
      <c r="BA193" s="118"/>
      <c r="BB193" s="118"/>
      <c r="BC193" s="118"/>
      <c r="BE193" s="118">
        <f t="shared" si="265"/>
        <v>0</v>
      </c>
      <c r="BF193" s="118">
        <f t="shared" si="266"/>
        <v>0</v>
      </c>
      <c r="BG193" s="118">
        <f t="shared" si="267"/>
        <v>0</v>
      </c>
      <c r="BH193" s="118">
        <f t="shared" si="268"/>
        <v>0</v>
      </c>
      <c r="BI193" s="122">
        <f t="shared" si="269"/>
        <v>0</v>
      </c>
      <c r="BJ193" s="125">
        <f t="shared" si="360"/>
        <v>-635.06909999999993</v>
      </c>
      <c r="BK193" s="44">
        <v>2025</v>
      </c>
      <c r="BL193" s="8" t="b">
        <f t="shared" si="361"/>
        <v>1</v>
      </c>
      <c r="BM193" s="128">
        <f t="shared" si="240"/>
        <v>13.8309</v>
      </c>
      <c r="BN193" s="129">
        <f t="shared" si="352"/>
        <v>-635.06909999999993</v>
      </c>
      <c r="BR193" s="73">
        <f t="shared" si="362"/>
        <v>13.8309</v>
      </c>
      <c r="BS193" s="73">
        <f t="shared" si="363"/>
        <v>0</v>
      </c>
      <c r="BT193" s="73">
        <f t="shared" si="364"/>
        <v>0</v>
      </c>
      <c r="BU193" s="73">
        <f t="shared" si="365"/>
        <v>0</v>
      </c>
      <c r="BV193" s="73">
        <f t="shared" si="366"/>
        <v>0</v>
      </c>
      <c r="BW193" s="73">
        <f t="shared" si="367"/>
        <v>0</v>
      </c>
      <c r="BX193" s="73">
        <f t="shared" si="368"/>
        <v>0</v>
      </c>
      <c r="BY193" s="73">
        <f t="shared" si="369"/>
        <v>468.17857333766415</v>
      </c>
      <c r="BZ193" s="74">
        <f t="shared" si="370"/>
        <v>578.41136800519689</v>
      </c>
      <c r="CB193" s="75">
        <f t="shared" si="262"/>
        <v>578.41136800519689</v>
      </c>
      <c r="CJ193" s="70">
        <f t="shared" si="270"/>
        <v>-8.5265128291212022E-14</v>
      </c>
      <c r="CK193" s="166"/>
      <c r="CL193" s="163"/>
      <c r="CM193" s="68"/>
      <c r="CN193" s="28">
        <v>22.3</v>
      </c>
      <c r="CQ193" s="177">
        <f t="shared" si="263"/>
        <v>47.1</v>
      </c>
      <c r="CR193" s="177">
        <f t="shared" si="264"/>
        <v>0</v>
      </c>
    </row>
    <row r="194" spans="1:96" s="8" customFormat="1" ht="33.75" customHeight="1" x14ac:dyDescent="0.3">
      <c r="A194" s="44" t="s">
        <v>525</v>
      </c>
      <c r="B194" s="51" t="s">
        <v>107</v>
      </c>
      <c r="C194" s="157" t="s">
        <v>191</v>
      </c>
      <c r="D194" s="28" t="s">
        <v>210</v>
      </c>
      <c r="E194" s="20" t="s">
        <v>181</v>
      </c>
      <c r="F194" s="21">
        <f t="shared" si="354"/>
        <v>2022</v>
      </c>
      <c r="G194" s="46">
        <f t="shared" si="355"/>
        <v>2023</v>
      </c>
      <c r="H194" s="46">
        <f t="shared" si="356"/>
        <v>2023</v>
      </c>
      <c r="I194" s="29" t="s">
        <v>131</v>
      </c>
      <c r="J194" s="28" t="s">
        <v>131</v>
      </c>
      <c r="K194" s="20">
        <v>0</v>
      </c>
      <c r="L194" s="20">
        <f t="shared" si="335"/>
        <v>374</v>
      </c>
      <c r="M194" s="20">
        <v>18.7</v>
      </c>
      <c r="N194" s="20">
        <v>93.5</v>
      </c>
      <c r="O194" s="20">
        <v>239.36</v>
      </c>
      <c r="P194" s="20">
        <v>22.439999999999998</v>
      </c>
      <c r="Q194" s="20">
        <v>374</v>
      </c>
      <c r="R194" s="20">
        <f>0.05*Q194</f>
        <v>18.7</v>
      </c>
      <c r="S194" s="20">
        <f>0.25*Q194</f>
        <v>93.5</v>
      </c>
      <c r="T194" s="20">
        <f>0.64*Q194</f>
        <v>239.36</v>
      </c>
      <c r="U194" s="20">
        <f>0.06*Q194</f>
        <v>22.439999999999998</v>
      </c>
      <c r="V194" s="20">
        <v>0</v>
      </c>
      <c r="W194" s="20">
        <f t="shared" si="357"/>
        <v>374</v>
      </c>
      <c r="X194" s="20"/>
      <c r="Y194" s="20">
        <f t="shared" si="358"/>
        <v>374</v>
      </c>
      <c r="Z194" s="28"/>
      <c r="AA194" s="20">
        <f t="shared" si="359"/>
        <v>374</v>
      </c>
      <c r="AB194" s="28">
        <v>0</v>
      </c>
      <c r="AC194" s="20">
        <v>0</v>
      </c>
      <c r="AD194" s="28"/>
      <c r="AE194" s="28"/>
      <c r="AF194" s="28"/>
      <c r="AG194" s="28"/>
      <c r="AH194" s="28">
        <v>20</v>
      </c>
      <c r="AI194" s="28">
        <v>21.3</v>
      </c>
      <c r="AJ194" s="28">
        <v>354</v>
      </c>
      <c r="AK194" s="155">
        <f>1.7+351</f>
        <v>352.7</v>
      </c>
      <c r="AL194" s="28"/>
      <c r="AM194" s="156"/>
      <c r="AN194" s="20">
        <f t="shared" ref="AN194:AO199" si="371">SUM(AD194+AF194+AH194+AJ194+AL194)</f>
        <v>374</v>
      </c>
      <c r="AO194" s="20">
        <f t="shared" si="371"/>
        <v>374</v>
      </c>
      <c r="AP194" s="94" t="s">
        <v>594</v>
      </c>
      <c r="AQ194" s="86"/>
      <c r="AR194" s="85">
        <f t="shared" si="272"/>
        <v>0</v>
      </c>
      <c r="AS194" s="85">
        <f t="shared" si="273"/>
        <v>0</v>
      </c>
      <c r="AT194" s="113">
        <f t="shared" si="310"/>
        <v>0</v>
      </c>
      <c r="AV194" s="105">
        <f t="shared" si="309"/>
        <v>0</v>
      </c>
      <c r="AX194" s="31"/>
      <c r="AY194" s="166"/>
      <c r="AZ194" s="118"/>
      <c r="BA194" s="118">
        <v>21.3</v>
      </c>
      <c r="BB194" s="118"/>
      <c r="BC194" s="118">
        <v>0</v>
      </c>
      <c r="BE194" s="118">
        <f t="shared" si="265"/>
        <v>0</v>
      </c>
      <c r="BF194" s="118">
        <f t="shared" si="266"/>
        <v>0</v>
      </c>
      <c r="BG194" s="118">
        <f t="shared" si="267"/>
        <v>352.7</v>
      </c>
      <c r="BH194" s="118">
        <f t="shared" si="268"/>
        <v>0</v>
      </c>
      <c r="BI194" s="122">
        <f t="shared" si="269"/>
        <v>352.7</v>
      </c>
      <c r="BJ194" s="125">
        <f t="shared" si="360"/>
        <v>0</v>
      </c>
      <c r="BK194" s="44">
        <v>2025</v>
      </c>
      <c r="BL194" s="8" t="b">
        <f t="shared" si="361"/>
        <v>0</v>
      </c>
      <c r="BM194" s="128">
        <f t="shared" si="240"/>
        <v>374</v>
      </c>
      <c r="BN194" s="129">
        <f t="shared" si="352"/>
        <v>0</v>
      </c>
      <c r="BR194" s="73">
        <f t="shared" si="362"/>
        <v>0</v>
      </c>
      <c r="BS194" s="73">
        <f t="shared" si="363"/>
        <v>0</v>
      </c>
      <c r="BT194" s="73">
        <f t="shared" si="364"/>
        <v>0</v>
      </c>
      <c r="BU194" s="73">
        <f t="shared" si="365"/>
        <v>0</v>
      </c>
      <c r="BV194" s="73">
        <f t="shared" si="366"/>
        <v>17.876419181261653</v>
      </c>
      <c r="BW194" s="73">
        <f t="shared" si="367"/>
        <v>283.56139546053726</v>
      </c>
      <c r="BX194" s="73">
        <f t="shared" si="368"/>
        <v>0</v>
      </c>
      <c r="BY194" s="73">
        <f t="shared" si="369"/>
        <v>0</v>
      </c>
      <c r="BZ194" s="74">
        <f t="shared" si="370"/>
        <v>361.72537757015868</v>
      </c>
      <c r="CB194" s="75">
        <f t="shared" si="262"/>
        <v>361.72537757015868</v>
      </c>
      <c r="CJ194" s="70">
        <f t="shared" si="270"/>
        <v>0</v>
      </c>
      <c r="CK194" s="166"/>
      <c r="CL194" s="163"/>
      <c r="CM194" s="68"/>
      <c r="CN194" s="28"/>
      <c r="CQ194" s="177">
        <f t="shared" si="263"/>
        <v>374</v>
      </c>
      <c r="CR194" s="177">
        <f t="shared" si="264"/>
        <v>0</v>
      </c>
    </row>
    <row r="195" spans="1:96" s="8" customFormat="1" ht="82.5" x14ac:dyDescent="0.3">
      <c r="A195" s="44" t="s">
        <v>525</v>
      </c>
      <c r="B195" s="51" t="s">
        <v>107</v>
      </c>
      <c r="C195" s="76" t="s">
        <v>169</v>
      </c>
      <c r="D195" s="28" t="s">
        <v>211</v>
      </c>
      <c r="E195" s="20" t="s">
        <v>181</v>
      </c>
      <c r="F195" s="21">
        <f t="shared" si="354"/>
        <v>2021</v>
      </c>
      <c r="G195" s="46" t="str">
        <f t="shared" si="355"/>
        <v>Ошибка в +</v>
      </c>
      <c r="H195" s="46">
        <f t="shared" si="356"/>
        <v>2025</v>
      </c>
      <c r="I195" s="29" t="s">
        <v>131</v>
      </c>
      <c r="J195" s="28" t="s">
        <v>131</v>
      </c>
      <c r="K195" s="20">
        <v>0</v>
      </c>
      <c r="L195" s="20">
        <f t="shared" si="335"/>
        <v>648.4</v>
      </c>
      <c r="M195" s="20">
        <v>32.42</v>
      </c>
      <c r="N195" s="20">
        <v>162.1</v>
      </c>
      <c r="O195" s="20">
        <v>414.976</v>
      </c>
      <c r="P195" s="20">
        <v>38.903999999999996</v>
      </c>
      <c r="Q195" s="20">
        <v>648.4</v>
      </c>
      <c r="R195" s="20">
        <f>0.05*Q195</f>
        <v>32.42</v>
      </c>
      <c r="S195" s="20">
        <f>0.25*Q195</f>
        <v>162.1</v>
      </c>
      <c r="T195" s="20">
        <f>0.64*Q195</f>
        <v>414.976</v>
      </c>
      <c r="U195" s="20">
        <f>0.06*Q195</f>
        <v>38.903999999999996</v>
      </c>
      <c r="V195" s="20">
        <v>0</v>
      </c>
      <c r="W195" s="20">
        <f t="shared" si="357"/>
        <v>648.4</v>
      </c>
      <c r="X195" s="20"/>
      <c r="Y195" s="20">
        <f t="shared" si="358"/>
        <v>571</v>
      </c>
      <c r="Z195" s="28"/>
      <c r="AA195" s="20">
        <f t="shared" si="359"/>
        <v>648.37400000000002</v>
      </c>
      <c r="AB195" s="28">
        <v>0</v>
      </c>
      <c r="AC195" s="20">
        <v>0</v>
      </c>
      <c r="AD195" s="176">
        <v>26.7</v>
      </c>
      <c r="AE195" s="28">
        <v>0</v>
      </c>
      <c r="AF195" s="28">
        <v>50.7</v>
      </c>
      <c r="AG195" s="28">
        <v>2.5999999999999999E-2</v>
      </c>
      <c r="AH195" s="28"/>
      <c r="AI195" s="28">
        <v>8.5399999999999991</v>
      </c>
      <c r="AJ195" s="28">
        <v>144.30000000000001</v>
      </c>
      <c r="AK195" s="28">
        <v>0.14162530000000001</v>
      </c>
      <c r="AL195" s="28">
        <v>453.4</v>
      </c>
      <c r="AM195" s="28">
        <v>582.91</v>
      </c>
      <c r="AN195" s="20">
        <f>SUM(AF195+AH195+AJ195+AL195)</f>
        <v>648.4</v>
      </c>
      <c r="AO195" s="20">
        <f t="shared" si="371"/>
        <v>591.61762529999999</v>
      </c>
      <c r="AP195" s="94" t="s">
        <v>460</v>
      </c>
      <c r="AQ195" s="86"/>
      <c r="AR195" s="85">
        <f t="shared" si="272"/>
        <v>-26.700000000000045</v>
      </c>
      <c r="AS195" s="85">
        <f t="shared" si="273"/>
        <v>56.782374699999991</v>
      </c>
      <c r="AT195" s="113">
        <f t="shared" si="310"/>
        <v>0</v>
      </c>
      <c r="AV195" s="105">
        <f t="shared" si="309"/>
        <v>56.782374700000105</v>
      </c>
      <c r="AX195" s="31"/>
      <c r="AY195" s="166"/>
      <c r="AZ195" s="118">
        <v>2.5999999999999999E-2</v>
      </c>
      <c r="BA195" s="118">
        <v>8.5399999999999991</v>
      </c>
      <c r="BB195" s="118">
        <v>0.14162530000000001</v>
      </c>
      <c r="BC195" s="118">
        <v>582.80245503000003</v>
      </c>
      <c r="BE195" s="118">
        <f t="shared" si="265"/>
        <v>0</v>
      </c>
      <c r="BF195" s="118">
        <f t="shared" si="266"/>
        <v>0</v>
      </c>
      <c r="BG195" s="118">
        <f t="shared" si="267"/>
        <v>0</v>
      </c>
      <c r="BH195" s="118">
        <f t="shared" si="268"/>
        <v>0.10754496999993535</v>
      </c>
      <c r="BI195" s="122">
        <f t="shared" si="269"/>
        <v>0.10754496999993535</v>
      </c>
      <c r="BJ195" s="125">
        <f t="shared" si="360"/>
        <v>-56.782374699999991</v>
      </c>
      <c r="BK195" s="44">
        <v>2025</v>
      </c>
      <c r="BL195" s="8" t="b">
        <f t="shared" si="361"/>
        <v>1</v>
      </c>
      <c r="BM195" s="128">
        <f t="shared" si="240"/>
        <v>591.61762529999999</v>
      </c>
      <c r="BN195" s="129">
        <f t="shared" si="352"/>
        <v>-56.782374699999991</v>
      </c>
      <c r="BR195" s="73">
        <f t="shared" si="362"/>
        <v>0</v>
      </c>
      <c r="BS195" s="73">
        <f t="shared" si="363"/>
        <v>0</v>
      </c>
      <c r="BT195" s="73">
        <f t="shared" si="364"/>
        <v>0</v>
      </c>
      <c r="BU195" s="73">
        <f t="shared" si="365"/>
        <v>2.2763659581648384E-2</v>
      </c>
      <c r="BV195" s="73">
        <f t="shared" si="366"/>
        <v>7.1673530426279113</v>
      </c>
      <c r="BW195" s="73">
        <f t="shared" si="367"/>
        <v>0.11386296484410896</v>
      </c>
      <c r="BX195" s="73">
        <f t="shared" si="368"/>
        <v>448.76358040974213</v>
      </c>
      <c r="BY195" s="73">
        <f t="shared" si="369"/>
        <v>41.860470266575284</v>
      </c>
      <c r="BZ195" s="74">
        <f t="shared" si="370"/>
        <v>597.51363641204534</v>
      </c>
      <c r="CB195" s="75">
        <f t="shared" si="262"/>
        <v>597.51363641204523</v>
      </c>
      <c r="CJ195" s="70">
        <f t="shared" si="270"/>
        <v>0</v>
      </c>
      <c r="CK195" s="166"/>
      <c r="CL195" s="163"/>
      <c r="CM195" s="68"/>
      <c r="CN195" s="28">
        <v>26.7</v>
      </c>
      <c r="CQ195" s="177">
        <f t="shared" si="263"/>
        <v>597.726</v>
      </c>
      <c r="CR195" s="177">
        <f t="shared" si="264"/>
        <v>-50.673999999999978</v>
      </c>
    </row>
    <row r="196" spans="1:96" ht="49.5" x14ac:dyDescent="0.3">
      <c r="A196" s="44" t="s">
        <v>525</v>
      </c>
      <c r="B196" s="51" t="s">
        <v>107</v>
      </c>
      <c r="C196" s="76" t="s">
        <v>537</v>
      </c>
      <c r="D196" s="72" t="s">
        <v>214</v>
      </c>
      <c r="E196" s="20" t="s">
        <v>181</v>
      </c>
      <c r="F196" s="21">
        <f t="shared" si="354"/>
        <v>2021</v>
      </c>
      <c r="G196" s="46">
        <f t="shared" si="355"/>
        <v>2025</v>
      </c>
      <c r="H196" s="46">
        <f t="shared" si="356"/>
        <v>2025</v>
      </c>
      <c r="I196" s="29" t="s">
        <v>131</v>
      </c>
      <c r="J196" s="28" t="s">
        <v>131</v>
      </c>
      <c r="K196" s="20">
        <v>0</v>
      </c>
      <c r="L196" s="20">
        <f t="shared" si="335"/>
        <v>828.79999999999984</v>
      </c>
      <c r="M196" s="20">
        <v>58.016000000000005</v>
      </c>
      <c r="N196" s="20">
        <v>712.76799999999992</v>
      </c>
      <c r="O196" s="20">
        <v>0</v>
      </c>
      <c r="P196" s="20">
        <v>58.016000000000005</v>
      </c>
      <c r="Q196" s="20">
        <v>828.79999999999984</v>
      </c>
      <c r="R196" s="20">
        <f>0.07*Q196</f>
        <v>58.015999999999991</v>
      </c>
      <c r="S196" s="20">
        <f>0.86*Q196</f>
        <v>712.7679999999998</v>
      </c>
      <c r="T196" s="20">
        <f>0*Q196</f>
        <v>0</v>
      </c>
      <c r="U196" s="20">
        <f>0.07*Q196</f>
        <v>58.015999999999991</v>
      </c>
      <c r="V196" s="20">
        <v>0</v>
      </c>
      <c r="W196" s="20">
        <f t="shared" si="357"/>
        <v>828.79999999999984</v>
      </c>
      <c r="X196" s="20"/>
      <c r="Y196" s="20">
        <f t="shared" si="358"/>
        <v>814.39999999999986</v>
      </c>
      <c r="Z196" s="28"/>
      <c r="AA196" s="20">
        <f t="shared" si="359"/>
        <v>814.39999999999986</v>
      </c>
      <c r="AB196" s="28">
        <v>0</v>
      </c>
      <c r="AC196" s="20">
        <v>0</v>
      </c>
      <c r="AD196" s="28"/>
      <c r="AE196" s="28"/>
      <c r="AF196" s="28">
        <v>14.4</v>
      </c>
      <c r="AG196" s="28">
        <v>14.4</v>
      </c>
      <c r="AH196" s="28"/>
      <c r="AI196" s="28">
        <v>16.239999999999998</v>
      </c>
      <c r="AJ196" s="28"/>
      <c r="AK196" s="28">
        <v>3</v>
      </c>
      <c r="AL196" s="28"/>
      <c r="AM196" s="28"/>
      <c r="AN196" s="20">
        <f t="shared" si="371"/>
        <v>14.4</v>
      </c>
      <c r="AO196" s="20">
        <f t="shared" si="371"/>
        <v>33.64</v>
      </c>
      <c r="AP196" s="94" t="s">
        <v>508</v>
      </c>
      <c r="AQ196" s="69"/>
      <c r="AR196" s="85">
        <f t="shared" si="272"/>
        <v>814.39999999999986</v>
      </c>
      <c r="AS196" s="85">
        <f t="shared" si="273"/>
        <v>795.15999999999985</v>
      </c>
      <c r="AT196" s="113">
        <f t="shared" si="310"/>
        <v>0</v>
      </c>
      <c r="AV196" s="105">
        <f t="shared" si="309"/>
        <v>795.15999999999985</v>
      </c>
      <c r="AX196" s="31"/>
      <c r="AY196" s="15"/>
      <c r="AZ196" s="118">
        <v>14.4</v>
      </c>
      <c r="BA196" s="118">
        <v>16.239999999999998</v>
      </c>
      <c r="BB196" s="118"/>
      <c r="BC196" s="118"/>
      <c r="BD196" s="8"/>
      <c r="BE196" s="118">
        <f t="shared" si="265"/>
        <v>0</v>
      </c>
      <c r="BF196" s="118">
        <f t="shared" si="266"/>
        <v>0</v>
      </c>
      <c r="BG196" s="118">
        <f t="shared" si="267"/>
        <v>3</v>
      </c>
      <c r="BH196" s="118">
        <f t="shared" si="268"/>
        <v>0</v>
      </c>
      <c r="BI196" s="122">
        <f t="shared" si="269"/>
        <v>3</v>
      </c>
      <c r="BJ196" s="125">
        <f t="shared" si="360"/>
        <v>-795.15999999999985</v>
      </c>
      <c r="BK196" s="108">
        <v>2025</v>
      </c>
      <c r="BL196" s="8" t="b">
        <f t="shared" si="361"/>
        <v>1</v>
      </c>
      <c r="BM196" s="128">
        <f t="shared" si="240"/>
        <v>33.64</v>
      </c>
      <c r="BN196" s="129">
        <f t="shared" si="352"/>
        <v>-795.15999999999985</v>
      </c>
      <c r="BR196" s="73">
        <f t="shared" si="362"/>
        <v>0</v>
      </c>
      <c r="BS196" s="73">
        <f t="shared" si="363"/>
        <v>0</v>
      </c>
      <c r="BT196" s="73">
        <f t="shared" si="364"/>
        <v>0</v>
      </c>
      <c r="BU196" s="73">
        <f t="shared" si="365"/>
        <v>12.607565306759106</v>
      </c>
      <c r="BV196" s="73">
        <f t="shared" si="366"/>
        <v>13.629720540079306</v>
      </c>
      <c r="BW196" s="73">
        <f t="shared" si="367"/>
        <v>2.4119200067525144</v>
      </c>
      <c r="BX196" s="73">
        <f t="shared" si="368"/>
        <v>0</v>
      </c>
      <c r="BY196" s="73">
        <f t="shared" si="369"/>
        <v>586.19900476212274</v>
      </c>
      <c r="BZ196" s="74">
        <f t="shared" si="370"/>
        <v>737.81785273885646</v>
      </c>
      <c r="CB196" s="75">
        <f t="shared" si="262"/>
        <v>737.81785273885646</v>
      </c>
      <c r="CE196" s="8"/>
      <c r="CJ196" s="70">
        <f t="shared" si="270"/>
        <v>8.5265128291212022E-14</v>
      </c>
      <c r="CL196" s="163"/>
      <c r="CM196" s="68"/>
      <c r="CN196" s="28"/>
      <c r="CQ196" s="177">
        <f t="shared" si="263"/>
        <v>14.4</v>
      </c>
      <c r="CR196" s="177">
        <f t="shared" si="264"/>
        <v>0</v>
      </c>
    </row>
    <row r="197" spans="1:96" ht="37.5" x14ac:dyDescent="0.3">
      <c r="A197" s="44" t="s">
        <v>525</v>
      </c>
      <c r="B197" s="51" t="s">
        <v>107</v>
      </c>
      <c r="C197" s="76" t="s">
        <v>192</v>
      </c>
      <c r="D197" s="20" t="s">
        <v>215</v>
      </c>
      <c r="E197" s="20" t="s">
        <v>181</v>
      </c>
      <c r="F197" s="21">
        <f t="shared" si="354"/>
        <v>2021</v>
      </c>
      <c r="G197" s="46" t="str">
        <f t="shared" si="355"/>
        <v>Ошибка в +</v>
      </c>
      <c r="H197" s="46">
        <f t="shared" si="356"/>
        <v>2024</v>
      </c>
      <c r="I197" s="29" t="s">
        <v>131</v>
      </c>
      <c r="J197" s="28" t="s">
        <v>131</v>
      </c>
      <c r="K197" s="20">
        <v>0</v>
      </c>
      <c r="L197" s="20">
        <f t="shared" si="335"/>
        <v>307.39999999999998</v>
      </c>
      <c r="M197" s="20">
        <v>21.518000000000001</v>
      </c>
      <c r="N197" s="20">
        <v>264.36399999999998</v>
      </c>
      <c r="O197" s="20">
        <v>0</v>
      </c>
      <c r="P197" s="20">
        <v>21.518000000000001</v>
      </c>
      <c r="Q197" s="20">
        <v>839.29399999999998</v>
      </c>
      <c r="R197" s="20">
        <f>0.07*Q197</f>
        <v>58.750580000000006</v>
      </c>
      <c r="S197" s="20">
        <f>0.86*Q197</f>
        <v>721.79283999999996</v>
      </c>
      <c r="T197" s="20">
        <f>0*Q197</f>
        <v>0</v>
      </c>
      <c r="U197" s="20">
        <f>0.07*Q197</f>
        <v>58.750580000000006</v>
      </c>
      <c r="V197" s="20">
        <v>0</v>
      </c>
      <c r="W197" s="20">
        <f t="shared" si="357"/>
        <v>307.39999999999998</v>
      </c>
      <c r="X197" s="20"/>
      <c r="Y197" s="20">
        <f t="shared" si="358"/>
        <v>295.89999999999998</v>
      </c>
      <c r="Z197" s="28"/>
      <c r="AA197" s="20">
        <f t="shared" si="359"/>
        <v>839.14</v>
      </c>
      <c r="AB197" s="28">
        <v>0</v>
      </c>
      <c r="AC197" s="20">
        <v>0</v>
      </c>
      <c r="AD197" s="176">
        <v>11.5</v>
      </c>
      <c r="AE197" s="28"/>
      <c r="AF197" s="28"/>
      <c r="AG197" s="28">
        <v>0.154</v>
      </c>
      <c r="AH197" s="28"/>
      <c r="AI197" s="28">
        <v>6.92</v>
      </c>
      <c r="AJ197" s="28">
        <v>307.39999999999998</v>
      </c>
      <c r="AK197" s="28">
        <v>6.92</v>
      </c>
      <c r="AL197" s="28"/>
      <c r="AM197" s="28">
        <v>825.3</v>
      </c>
      <c r="AN197" s="20">
        <f>SUM(AF197+AH197+AJ197+AL197)</f>
        <v>307.39999999999998</v>
      </c>
      <c r="AO197" s="20">
        <f t="shared" si="371"/>
        <v>839.29399999999998</v>
      </c>
      <c r="AP197" s="94" t="s">
        <v>553</v>
      </c>
      <c r="AQ197" s="86"/>
      <c r="AR197" s="85">
        <f t="shared" si="272"/>
        <v>-11.5</v>
      </c>
      <c r="AS197" s="112">
        <f t="shared" si="273"/>
        <v>0</v>
      </c>
      <c r="AT197" s="113">
        <f t="shared" si="310"/>
        <v>531.89400000000001</v>
      </c>
      <c r="AV197" s="105">
        <f t="shared" si="309"/>
        <v>0</v>
      </c>
      <c r="AX197" s="31"/>
      <c r="AY197" s="15"/>
      <c r="AZ197" s="118">
        <v>0.154</v>
      </c>
      <c r="BA197" s="118">
        <v>6.92</v>
      </c>
      <c r="BB197" s="118">
        <v>331.23</v>
      </c>
      <c r="BC197" s="118">
        <v>484.45</v>
      </c>
      <c r="BD197" s="8"/>
      <c r="BE197" s="118">
        <f t="shared" si="265"/>
        <v>0</v>
      </c>
      <c r="BF197" s="118">
        <f t="shared" si="266"/>
        <v>0</v>
      </c>
      <c r="BG197" s="118">
        <f t="shared" si="267"/>
        <v>-324.31</v>
      </c>
      <c r="BH197" s="118">
        <f t="shared" si="268"/>
        <v>340.84999999999997</v>
      </c>
      <c r="BI197" s="122">
        <f t="shared" si="269"/>
        <v>16.539999999999964</v>
      </c>
      <c r="BJ197" s="118">
        <f t="shared" si="360"/>
        <v>0</v>
      </c>
      <c r="BK197" s="108">
        <v>2024</v>
      </c>
      <c r="BL197" s="8" t="b">
        <f t="shared" si="361"/>
        <v>1</v>
      </c>
      <c r="BM197" s="128">
        <f t="shared" si="240"/>
        <v>839.29399999999998</v>
      </c>
      <c r="BN197" s="129">
        <f t="shared" si="352"/>
        <v>0</v>
      </c>
      <c r="BR197" s="73">
        <f t="shared" si="362"/>
        <v>0</v>
      </c>
      <c r="BS197" s="73">
        <f t="shared" si="363"/>
        <v>0</v>
      </c>
      <c r="BT197" s="73">
        <f t="shared" si="364"/>
        <v>0</v>
      </c>
      <c r="BU197" s="73">
        <f t="shared" si="365"/>
        <v>0.13483090675284043</v>
      </c>
      <c r="BV197" s="73">
        <f t="shared" si="366"/>
        <v>5.8077380626446313</v>
      </c>
      <c r="BW197" s="73">
        <f t="shared" si="367"/>
        <v>5.563495482242466</v>
      </c>
      <c r="BX197" s="73">
        <f t="shared" si="368"/>
        <v>635.37181196438587</v>
      </c>
      <c r="BY197" s="73">
        <f t="shared" si="369"/>
        <v>8.3810945126722021E-14</v>
      </c>
      <c r="BZ197" s="74">
        <f t="shared" si="370"/>
        <v>776.25345169923116</v>
      </c>
      <c r="CB197" s="75">
        <f t="shared" si="262"/>
        <v>776.25345169923105</v>
      </c>
      <c r="CE197" s="8"/>
      <c r="CJ197" s="70">
        <f t="shared" si="270"/>
        <v>0</v>
      </c>
      <c r="CL197" s="163"/>
      <c r="CM197" s="68"/>
      <c r="CN197" s="28">
        <v>11.5</v>
      </c>
      <c r="CQ197" s="177">
        <f t="shared" si="263"/>
        <v>307.55399999999997</v>
      </c>
      <c r="CR197" s="177">
        <f t="shared" si="264"/>
        <v>0.15399999999999636</v>
      </c>
    </row>
    <row r="198" spans="1:96" ht="37.5" x14ac:dyDescent="0.3">
      <c r="A198" s="44" t="s">
        <v>525</v>
      </c>
      <c r="B198" s="51" t="s">
        <v>107</v>
      </c>
      <c r="C198" s="76" t="s">
        <v>197</v>
      </c>
      <c r="D198" s="20" t="s">
        <v>255</v>
      </c>
      <c r="E198" s="20" t="s">
        <v>181</v>
      </c>
      <c r="F198" s="21">
        <f t="shared" si="354"/>
        <v>2021</v>
      </c>
      <c r="G198" s="46" t="str">
        <f t="shared" si="355"/>
        <v>Ошибка в +</v>
      </c>
      <c r="H198" s="46">
        <f t="shared" si="356"/>
        <v>2022</v>
      </c>
      <c r="I198" s="22" t="s">
        <v>131</v>
      </c>
      <c r="J198" s="28">
        <f t="shared" ref="J198:J199" si="372">Q198</f>
        <v>160.14249999999998</v>
      </c>
      <c r="K198" s="20">
        <v>0</v>
      </c>
      <c r="L198" s="20">
        <f t="shared" si="335"/>
        <v>162.20000000000002</v>
      </c>
      <c r="M198" s="20">
        <v>11.354000000000001</v>
      </c>
      <c r="N198" s="20">
        <v>139.49199999999999</v>
      </c>
      <c r="O198" s="20">
        <v>0</v>
      </c>
      <c r="P198" s="20">
        <v>11.354000000000001</v>
      </c>
      <c r="Q198" s="20">
        <v>160.14249999999998</v>
      </c>
      <c r="R198" s="20">
        <f>0.07*Q198</f>
        <v>11.209975</v>
      </c>
      <c r="S198" s="20">
        <f>0.86*Q198</f>
        <v>137.72254999999998</v>
      </c>
      <c r="T198" s="20">
        <f>0*Q198</f>
        <v>0</v>
      </c>
      <c r="U198" s="20">
        <f>0.07*Q198</f>
        <v>11.209975</v>
      </c>
      <c r="V198" s="20">
        <v>0</v>
      </c>
      <c r="W198" s="20">
        <f t="shared" si="357"/>
        <v>162.20000000000002</v>
      </c>
      <c r="X198" s="20"/>
      <c r="Y198" s="20">
        <f t="shared" si="358"/>
        <v>19.100000000000023</v>
      </c>
      <c r="Z198" s="28"/>
      <c r="AA198" s="20">
        <f t="shared" si="359"/>
        <v>160.13</v>
      </c>
      <c r="AB198" s="20">
        <v>0</v>
      </c>
      <c r="AC198" s="20">
        <v>0</v>
      </c>
      <c r="AD198" s="174">
        <v>143.1</v>
      </c>
      <c r="AE198" s="20"/>
      <c r="AF198" s="20"/>
      <c r="AG198" s="20">
        <v>1.2500000000000001E-2</v>
      </c>
      <c r="AH198" s="20">
        <v>162.19999999999999</v>
      </c>
      <c r="AI198" s="20">
        <v>160.13</v>
      </c>
      <c r="AJ198" s="20"/>
      <c r="AK198" s="20"/>
      <c r="AL198" s="20"/>
      <c r="AM198" s="20"/>
      <c r="AN198" s="20">
        <f>SUM(AF198+AH198+AJ198+AL198)</f>
        <v>162.19999999999999</v>
      </c>
      <c r="AO198" s="20">
        <f t="shared" si="371"/>
        <v>160.14249999999998</v>
      </c>
      <c r="AP198" s="94"/>
      <c r="AQ198" s="86"/>
      <c r="AR198" s="85">
        <f t="shared" si="272"/>
        <v>-143.09999999999994</v>
      </c>
      <c r="AS198" s="114">
        <f t="shared" si="273"/>
        <v>0</v>
      </c>
      <c r="AT198" s="113">
        <f t="shared" si="310"/>
        <v>-2.057500000000033</v>
      </c>
      <c r="AV198" s="105">
        <f t="shared" si="309"/>
        <v>0</v>
      </c>
      <c r="AX198" s="31">
        <f t="shared" ref="AX198:AX199" si="373">J198-Q198</f>
        <v>0</v>
      </c>
      <c r="AY198" s="15"/>
      <c r="AZ198" s="118">
        <v>1.2500000000000001E-2</v>
      </c>
      <c r="BA198" s="118">
        <v>160.13</v>
      </c>
      <c r="BB198" s="118"/>
      <c r="BC198" s="118"/>
      <c r="BD198" s="8"/>
      <c r="BE198" s="118">
        <f t="shared" si="265"/>
        <v>0</v>
      </c>
      <c r="BF198" s="118">
        <f t="shared" si="266"/>
        <v>0</v>
      </c>
      <c r="BG198" s="118">
        <f t="shared" si="267"/>
        <v>0</v>
      </c>
      <c r="BH198" s="118">
        <f t="shared" si="268"/>
        <v>0</v>
      </c>
      <c r="BI198" s="122">
        <f t="shared" si="269"/>
        <v>0</v>
      </c>
      <c r="BJ198" s="118">
        <f t="shared" si="360"/>
        <v>0</v>
      </c>
      <c r="BK198" s="108">
        <v>2022</v>
      </c>
      <c r="BL198" s="8" t="b">
        <f t="shared" si="361"/>
        <v>1</v>
      </c>
      <c r="BM198" s="128">
        <f t="shared" si="240"/>
        <v>160.14249999999998</v>
      </c>
      <c r="BN198" s="129">
        <f t="shared" si="352"/>
        <v>0</v>
      </c>
      <c r="BR198" s="73">
        <f t="shared" si="362"/>
        <v>0</v>
      </c>
      <c r="BS198" s="73">
        <f t="shared" si="363"/>
        <v>0</v>
      </c>
      <c r="BT198" s="73">
        <f t="shared" si="364"/>
        <v>0</v>
      </c>
      <c r="BU198" s="73">
        <f t="shared" si="365"/>
        <v>1.0944067106561725E-2</v>
      </c>
      <c r="BV198" s="73">
        <f t="shared" si="366"/>
        <v>134.39206589180415</v>
      </c>
      <c r="BW198" s="73">
        <f t="shared" si="367"/>
        <v>0</v>
      </c>
      <c r="BX198" s="73">
        <f t="shared" si="368"/>
        <v>0</v>
      </c>
      <c r="BY198" s="73">
        <f t="shared" si="369"/>
        <v>0</v>
      </c>
      <c r="BZ198" s="74">
        <f t="shared" si="370"/>
        <v>161.28361195069283</v>
      </c>
      <c r="CB198" s="75">
        <f t="shared" si="262"/>
        <v>161.28361195069283</v>
      </c>
      <c r="CE198" s="8"/>
      <c r="CJ198" s="70">
        <f t="shared" si="270"/>
        <v>1.4210854715202004E-14</v>
      </c>
      <c r="CL198" s="163"/>
      <c r="CM198" s="68"/>
      <c r="CN198" s="20">
        <v>143.1</v>
      </c>
      <c r="CQ198" s="177">
        <f t="shared" si="263"/>
        <v>162.21249999999998</v>
      </c>
      <c r="CR198" s="177">
        <f t="shared" si="264"/>
        <v>1.2499999999988631E-2</v>
      </c>
    </row>
    <row r="199" spans="1:96" ht="38.25" customHeight="1" x14ac:dyDescent="0.3">
      <c r="A199" s="44" t="s">
        <v>525</v>
      </c>
      <c r="B199" s="51" t="s">
        <v>107</v>
      </c>
      <c r="C199" s="76" t="s">
        <v>175</v>
      </c>
      <c r="D199" s="20" t="s">
        <v>312</v>
      </c>
      <c r="E199" s="20" t="s">
        <v>181</v>
      </c>
      <c r="F199" s="21">
        <f t="shared" si="354"/>
        <v>2021</v>
      </c>
      <c r="G199" s="46" t="str">
        <f t="shared" si="355"/>
        <v>Ошибка в +</v>
      </c>
      <c r="H199" s="46">
        <f t="shared" si="356"/>
        <v>2022</v>
      </c>
      <c r="I199" s="29" t="s">
        <v>131</v>
      </c>
      <c r="J199" s="28">
        <f t="shared" si="372"/>
        <v>169.41759999999999</v>
      </c>
      <c r="K199" s="20">
        <v>0</v>
      </c>
      <c r="L199" s="20">
        <f t="shared" si="335"/>
        <v>163.90000000000003</v>
      </c>
      <c r="M199" s="20">
        <v>11.473000000000001</v>
      </c>
      <c r="N199" s="20">
        <v>140.95400000000001</v>
      </c>
      <c r="O199" s="20">
        <v>0</v>
      </c>
      <c r="P199" s="20">
        <v>11.473000000000001</v>
      </c>
      <c r="Q199" s="20">
        <v>169.41759999999999</v>
      </c>
      <c r="R199" s="20">
        <f>0.07*Q199</f>
        <v>11.859232</v>
      </c>
      <c r="S199" s="20">
        <f>0.86*Q199</f>
        <v>145.69913599999998</v>
      </c>
      <c r="T199" s="20">
        <f>0*Q199</f>
        <v>0</v>
      </c>
      <c r="U199" s="20">
        <f>0.07*Q199</f>
        <v>11.859232</v>
      </c>
      <c r="V199" s="20">
        <v>0</v>
      </c>
      <c r="W199" s="20">
        <f t="shared" si="357"/>
        <v>163.90000000000003</v>
      </c>
      <c r="X199" s="20"/>
      <c r="Y199" s="20">
        <f t="shared" si="358"/>
        <v>130.10000000000002</v>
      </c>
      <c r="Z199" s="28"/>
      <c r="AA199" s="20">
        <f t="shared" si="359"/>
        <v>168.80359999999999</v>
      </c>
      <c r="AB199" s="28">
        <v>0</v>
      </c>
      <c r="AC199" s="20">
        <v>0</v>
      </c>
      <c r="AD199" s="176">
        <v>33.799999999999997</v>
      </c>
      <c r="AE199" s="28"/>
      <c r="AF199" s="28"/>
      <c r="AG199" s="28">
        <v>0.61399999999999999</v>
      </c>
      <c r="AH199" s="28">
        <v>163.9</v>
      </c>
      <c r="AI199" s="28">
        <v>168.80359999999999</v>
      </c>
      <c r="AJ199" s="28"/>
      <c r="AK199" s="28"/>
      <c r="AL199" s="28"/>
      <c r="AM199" s="28"/>
      <c r="AN199" s="20">
        <f>SUM(AF199+AH199+AJ199+AL199)</f>
        <v>163.9</v>
      </c>
      <c r="AO199" s="20">
        <f t="shared" si="371"/>
        <v>169.41759999999999</v>
      </c>
      <c r="AP199" s="94"/>
      <c r="AQ199" s="86"/>
      <c r="AR199" s="85">
        <f t="shared" si="272"/>
        <v>-33.799999999999955</v>
      </c>
      <c r="AS199" s="112">
        <f t="shared" si="273"/>
        <v>0</v>
      </c>
      <c r="AT199" s="113">
        <f t="shared" si="310"/>
        <v>5.517599999999959</v>
      </c>
      <c r="AV199" s="105">
        <f t="shared" si="309"/>
        <v>0</v>
      </c>
      <c r="AX199" s="31">
        <f t="shared" si="373"/>
        <v>0</v>
      </c>
      <c r="AY199" s="15"/>
      <c r="AZ199" s="118">
        <v>0.61399999999999999</v>
      </c>
      <c r="BA199" s="118">
        <v>163.12</v>
      </c>
      <c r="BB199" s="118"/>
      <c r="BC199" s="118"/>
      <c r="BD199" s="8"/>
      <c r="BE199" s="118">
        <f t="shared" si="265"/>
        <v>0</v>
      </c>
      <c r="BF199" s="118">
        <f t="shared" si="266"/>
        <v>5.6835999999999842</v>
      </c>
      <c r="BG199" s="118">
        <f t="shared" si="267"/>
        <v>0</v>
      </c>
      <c r="BH199" s="118">
        <f t="shared" si="268"/>
        <v>0</v>
      </c>
      <c r="BI199" s="122">
        <f t="shared" si="269"/>
        <v>5.6835999999999842</v>
      </c>
      <c r="BJ199" s="118">
        <f t="shared" si="360"/>
        <v>0</v>
      </c>
      <c r="BK199" s="108">
        <v>2022</v>
      </c>
      <c r="BL199" s="8" t="b">
        <f t="shared" si="361"/>
        <v>1</v>
      </c>
      <c r="BM199" s="128">
        <f t="shared" si="240"/>
        <v>169.41759999999999</v>
      </c>
      <c r="BN199" s="129">
        <f t="shared" si="352"/>
        <v>0</v>
      </c>
      <c r="BR199" s="73">
        <f t="shared" si="362"/>
        <v>0</v>
      </c>
      <c r="BS199" s="73">
        <f t="shared" si="363"/>
        <v>0</v>
      </c>
      <c r="BT199" s="73">
        <f t="shared" si="364"/>
        <v>0</v>
      </c>
      <c r="BU199" s="73">
        <f t="shared" si="365"/>
        <v>0.53757257627431188</v>
      </c>
      <c r="BV199" s="73">
        <f t="shared" si="366"/>
        <v>141.67154520685537</v>
      </c>
      <c r="BW199" s="73">
        <f t="shared" si="367"/>
        <v>0</v>
      </c>
      <c r="BX199" s="73">
        <f t="shared" si="368"/>
        <v>0</v>
      </c>
      <c r="BY199" s="73">
        <f t="shared" si="369"/>
        <v>0</v>
      </c>
      <c r="BZ199" s="74">
        <f t="shared" si="370"/>
        <v>170.6509413397556</v>
      </c>
      <c r="CB199" s="75">
        <f t="shared" si="262"/>
        <v>170.6509413397556</v>
      </c>
      <c r="CE199" s="8"/>
      <c r="CJ199" s="70">
        <f t="shared" si="270"/>
        <v>1.9539925233402755E-14</v>
      </c>
      <c r="CL199" s="163"/>
      <c r="CM199" s="68"/>
      <c r="CN199" s="28">
        <v>33.799999999999997</v>
      </c>
      <c r="CQ199" s="177">
        <f t="shared" si="263"/>
        <v>164.51400000000001</v>
      </c>
      <c r="CR199" s="177">
        <f t="shared" si="264"/>
        <v>0.61400000000000432</v>
      </c>
    </row>
    <row r="200" spans="1:96" s="8" customFormat="1" ht="20.25" x14ac:dyDescent="0.3">
      <c r="A200" s="44" t="s">
        <v>525</v>
      </c>
      <c r="B200" s="51" t="s">
        <v>107</v>
      </c>
      <c r="C200" s="71" t="s">
        <v>167</v>
      </c>
      <c r="D200" s="28" t="s">
        <v>209</v>
      </c>
      <c r="E200" s="20" t="s">
        <v>483</v>
      </c>
      <c r="F200" s="21" t="str">
        <f t="shared" si="354"/>
        <v>нд</v>
      </c>
      <c r="G200" s="46">
        <f t="shared" si="355"/>
        <v>2025</v>
      </c>
      <c r="H200" s="46" t="str">
        <f t="shared" si="356"/>
        <v>нд</v>
      </c>
      <c r="I200" s="29" t="s">
        <v>131</v>
      </c>
      <c r="J200" s="28" t="s">
        <v>131</v>
      </c>
      <c r="K200" s="20">
        <v>0</v>
      </c>
      <c r="L200" s="20">
        <f t="shared" si="335"/>
        <v>700.60000000000014</v>
      </c>
      <c r="M200" s="20">
        <v>35.03</v>
      </c>
      <c r="N200" s="20">
        <v>175.15</v>
      </c>
      <c r="O200" s="20">
        <v>448.38400000000001</v>
      </c>
      <c r="P200" s="20">
        <v>42.036000000000001</v>
      </c>
      <c r="Q200" s="20">
        <v>0</v>
      </c>
      <c r="R200" s="20">
        <f>0.05*Q200</f>
        <v>0</v>
      </c>
      <c r="S200" s="20">
        <f>0.25*Q200</f>
        <v>0</v>
      </c>
      <c r="T200" s="20">
        <f>0.64*Q200</f>
        <v>0</v>
      </c>
      <c r="U200" s="20">
        <f>0.06*Q200</f>
        <v>0</v>
      </c>
      <c r="V200" s="20">
        <v>0</v>
      </c>
      <c r="W200" s="20">
        <f t="shared" si="357"/>
        <v>700.60000000000014</v>
      </c>
      <c r="X200" s="20"/>
      <c r="Y200" s="20">
        <f t="shared" si="358"/>
        <v>700.60000000000014</v>
      </c>
      <c r="Z200" s="28"/>
      <c r="AA200" s="20">
        <f t="shared" si="359"/>
        <v>0</v>
      </c>
      <c r="AB200" s="28">
        <v>0</v>
      </c>
      <c r="AC200" s="20">
        <v>0</v>
      </c>
      <c r="AD200" s="102">
        <v>0</v>
      </c>
      <c r="AE200" s="28"/>
      <c r="AF200" s="28"/>
      <c r="AG200" s="28"/>
      <c r="AH200" s="28"/>
      <c r="AI200" s="28"/>
      <c r="AJ200" s="28"/>
      <c r="AK200" s="28"/>
      <c r="AL200" s="28">
        <v>50.1</v>
      </c>
      <c r="AM200" s="28"/>
      <c r="AN200" s="20">
        <f t="shared" si="337"/>
        <v>50.1</v>
      </c>
      <c r="AO200" s="20">
        <f t="shared" si="337"/>
        <v>0</v>
      </c>
      <c r="AP200" s="94" t="s">
        <v>550</v>
      </c>
      <c r="AQ200" s="86"/>
      <c r="AR200" s="85">
        <f t="shared" si="272"/>
        <v>650.50000000000011</v>
      </c>
      <c r="AS200" s="85">
        <f t="shared" si="273"/>
        <v>0</v>
      </c>
      <c r="AT200" s="113">
        <f t="shared" si="310"/>
        <v>-700.60000000000014</v>
      </c>
      <c r="AV200" s="105">
        <f t="shared" si="309"/>
        <v>0</v>
      </c>
      <c r="AX200" s="31"/>
      <c r="AY200" s="166"/>
      <c r="AZ200" s="118"/>
      <c r="BA200" s="118"/>
      <c r="BB200" s="118"/>
      <c r="BC200" s="118"/>
      <c r="BE200" s="118">
        <f t="shared" si="265"/>
        <v>0</v>
      </c>
      <c r="BF200" s="118">
        <f t="shared" si="266"/>
        <v>0</v>
      </c>
      <c r="BG200" s="118">
        <f t="shared" si="267"/>
        <v>0</v>
      </c>
      <c r="BH200" s="118">
        <f t="shared" si="268"/>
        <v>0</v>
      </c>
      <c r="BI200" s="122">
        <f t="shared" si="269"/>
        <v>0</v>
      </c>
      <c r="BJ200" s="118">
        <f t="shared" si="360"/>
        <v>0</v>
      </c>
      <c r="BK200" s="44" t="s">
        <v>131</v>
      </c>
      <c r="BL200" s="8" t="b">
        <f t="shared" si="361"/>
        <v>1</v>
      </c>
      <c r="BM200" s="128">
        <f t="shared" si="240"/>
        <v>0</v>
      </c>
      <c r="BN200" s="129">
        <f t="shared" si="352"/>
        <v>0</v>
      </c>
      <c r="BR200" s="73">
        <f t="shared" si="362"/>
        <v>0</v>
      </c>
      <c r="BS200" s="73">
        <f t="shared" si="363"/>
        <v>0</v>
      </c>
      <c r="BT200" s="73">
        <f t="shared" si="364"/>
        <v>0</v>
      </c>
      <c r="BU200" s="73">
        <f t="shared" si="365"/>
        <v>0</v>
      </c>
      <c r="BV200" s="73">
        <f t="shared" si="366"/>
        <v>0</v>
      </c>
      <c r="BW200" s="73">
        <f t="shared" si="367"/>
        <v>0</v>
      </c>
      <c r="BX200" s="73">
        <f t="shared" si="368"/>
        <v>0</v>
      </c>
      <c r="BY200" s="73">
        <f t="shared" si="369"/>
        <v>0</v>
      </c>
      <c r="BZ200" s="74">
        <f t="shared" si="370"/>
        <v>0</v>
      </c>
      <c r="CB200" s="75">
        <f t="shared" si="262"/>
        <v>0</v>
      </c>
      <c r="CJ200" s="70">
        <f t="shared" si="270"/>
        <v>0</v>
      </c>
      <c r="CK200" s="166"/>
      <c r="CL200" s="163"/>
      <c r="CM200" s="68"/>
      <c r="CN200" s="28"/>
      <c r="CQ200" s="177">
        <f t="shared" si="263"/>
        <v>50.1</v>
      </c>
      <c r="CR200" s="177">
        <f t="shared" si="264"/>
        <v>0</v>
      </c>
    </row>
    <row r="201" spans="1:96" ht="37.5" x14ac:dyDescent="0.3">
      <c r="B201" s="52" t="s">
        <v>113</v>
      </c>
      <c r="C201" s="53" t="s">
        <v>114</v>
      </c>
      <c r="D201" s="23" t="s">
        <v>129</v>
      </c>
      <c r="E201" s="23"/>
      <c r="F201" s="23"/>
      <c r="G201" s="24"/>
      <c r="H201" s="24"/>
      <c r="I201" s="25" t="s">
        <v>131</v>
      </c>
      <c r="J201" s="23">
        <f>SUM(J202:J216)</f>
        <v>1950.90205481</v>
      </c>
      <c r="K201" s="23">
        <f>SUM(K202:K216)</f>
        <v>0</v>
      </c>
      <c r="L201" s="23">
        <f>M201+N201+O201+P201</f>
        <v>2851.0029</v>
      </c>
      <c r="M201" s="23">
        <f t="shared" ref="M201:AM201" si="374">SUM(M202:M216)</f>
        <v>123.87932509855744</v>
      </c>
      <c r="N201" s="23">
        <f t="shared" si="374"/>
        <v>1893.5081334736919</v>
      </c>
      <c r="O201" s="23">
        <f t="shared" si="374"/>
        <v>696.40246797244288</v>
      </c>
      <c r="P201" s="23">
        <f t="shared" si="374"/>
        <v>137.21297345530755</v>
      </c>
      <c r="Q201" s="23">
        <f t="shared" si="374"/>
        <v>2727.5940548100002</v>
      </c>
      <c r="R201" s="23">
        <f t="shared" si="374"/>
        <v>119.30181302383065</v>
      </c>
      <c r="S201" s="23">
        <f t="shared" si="374"/>
        <v>1789.412515437296</v>
      </c>
      <c r="T201" s="23">
        <f t="shared" si="374"/>
        <v>684.24103759051866</v>
      </c>
      <c r="U201" s="23">
        <f t="shared" si="374"/>
        <v>134.63868875835445</v>
      </c>
      <c r="V201" s="23">
        <f t="shared" si="374"/>
        <v>0</v>
      </c>
      <c r="W201" s="23">
        <f t="shared" si="374"/>
        <v>2851.0029</v>
      </c>
      <c r="X201" s="23">
        <f t="shared" si="374"/>
        <v>0</v>
      </c>
      <c r="Y201" s="23">
        <f t="shared" si="374"/>
        <v>1040.4527</v>
      </c>
      <c r="Z201" s="23">
        <f t="shared" si="374"/>
        <v>0</v>
      </c>
      <c r="AA201" s="23">
        <f t="shared" si="374"/>
        <v>972.94775480999999</v>
      </c>
      <c r="AB201" s="23">
        <f t="shared" si="374"/>
        <v>667.61540000000002</v>
      </c>
      <c r="AC201" s="23">
        <f t="shared" si="374"/>
        <v>667.61540000000002</v>
      </c>
      <c r="AD201" s="23">
        <f t="shared" si="374"/>
        <v>920.90000000000009</v>
      </c>
      <c r="AE201" s="23">
        <f t="shared" si="374"/>
        <v>875.81270000000006</v>
      </c>
      <c r="AF201" s="23">
        <f t="shared" si="374"/>
        <v>222.03479999999999</v>
      </c>
      <c r="AG201" s="23">
        <f t="shared" si="374"/>
        <v>211.21820000000002</v>
      </c>
      <c r="AH201" s="23">
        <f t="shared" si="374"/>
        <v>562</v>
      </c>
      <c r="AI201" s="23">
        <f t="shared" si="374"/>
        <v>336.22340047999995</v>
      </c>
      <c r="AJ201" s="23">
        <f t="shared" si="374"/>
        <v>413.10614496000005</v>
      </c>
      <c r="AK201" s="23">
        <f t="shared" si="374"/>
        <v>300.956479</v>
      </c>
      <c r="AL201" s="23">
        <f t="shared" si="374"/>
        <v>110.43385504</v>
      </c>
      <c r="AM201" s="23">
        <f t="shared" si="374"/>
        <v>0.87647900000000001</v>
      </c>
      <c r="AN201" s="23">
        <f t="shared" si="337"/>
        <v>2228.4748</v>
      </c>
      <c r="AO201" s="23">
        <f t="shared" si="337"/>
        <v>1725.0872584800002</v>
      </c>
      <c r="AP201" s="97" t="s">
        <v>131</v>
      </c>
      <c r="AQ201" s="86"/>
      <c r="AR201" s="85">
        <f t="shared" si="272"/>
        <v>-45.087300000000141</v>
      </c>
      <c r="AS201" s="85">
        <f t="shared" si="273"/>
        <v>334.89139633000013</v>
      </c>
      <c r="AT201" s="113"/>
      <c r="AV201" s="105">
        <f t="shared" si="309"/>
        <v>334.89139633000008</v>
      </c>
      <c r="AX201" s="31"/>
      <c r="AY201" s="15"/>
      <c r="AZ201" s="118">
        <v>211.21820000000002</v>
      </c>
      <c r="BA201" s="118">
        <v>605.66340047999995</v>
      </c>
      <c r="BB201" s="118">
        <v>0.87647900000000001</v>
      </c>
      <c r="BC201" s="118">
        <v>0.87647900000000001</v>
      </c>
      <c r="BD201" s="8"/>
      <c r="BE201" s="118">
        <f t="shared" si="265"/>
        <v>0</v>
      </c>
      <c r="BF201" s="118">
        <f t="shared" si="266"/>
        <v>-269.44</v>
      </c>
      <c r="BG201" s="118">
        <f t="shared" si="267"/>
        <v>300.08</v>
      </c>
      <c r="BH201" s="118">
        <f t="shared" si="268"/>
        <v>0</v>
      </c>
      <c r="BI201" s="122">
        <f t="shared" si="269"/>
        <v>30.639999999999986</v>
      </c>
      <c r="BJ201" s="123"/>
      <c r="BK201" s="108"/>
      <c r="BM201" s="128">
        <f t="shared" si="240"/>
        <v>2392.7026584800001</v>
      </c>
      <c r="BN201" s="129">
        <f t="shared" si="352"/>
        <v>-334.89139633000013</v>
      </c>
      <c r="CB201" s="75">
        <f t="shared" si="262"/>
        <v>2870.0931713507539</v>
      </c>
      <c r="CJ201" s="70">
        <f t="shared" si="270"/>
        <v>5.4001247917767614E-13</v>
      </c>
      <c r="CL201" s="163"/>
      <c r="CM201" s="68"/>
      <c r="CN201" s="23">
        <f t="shared" ref="CN201" si="375">SUM(CN202:CN216)</f>
        <v>920.88</v>
      </c>
      <c r="CQ201" s="177">
        <f t="shared" si="263"/>
        <v>2172.5709000000002</v>
      </c>
      <c r="CR201" s="177">
        <f t="shared" si="264"/>
        <v>-55.903899999999794</v>
      </c>
    </row>
    <row r="202" spans="1:96" ht="20.25" x14ac:dyDescent="0.3">
      <c r="A202" s="44" t="s">
        <v>525</v>
      </c>
      <c r="B202" s="51" t="s">
        <v>113</v>
      </c>
      <c r="C202" s="76" t="s">
        <v>372</v>
      </c>
      <c r="D202" s="28" t="s">
        <v>513</v>
      </c>
      <c r="E202" s="21" t="s">
        <v>487</v>
      </c>
      <c r="F202" s="21">
        <f t="shared" ref="F202:F211" si="376">IF(K202&gt;0,2018,IF(AC202&gt;0,2019,IF(AE202&gt;0,2020,IF(AG202&gt;0,2021,IF(AI202&gt;0,2022,IF(AK202&gt;0,2023,IF(AM202&gt;0,2024,"нд")))))))</f>
        <v>2019</v>
      </c>
      <c r="G202" s="46">
        <f t="shared" ref="G202:G211" si="377">IF(AND(L202-(K202+AB202+AD202+AF202+AH202+AJ202+AL202)&lt;0.1,L202-(K202+AB202+AD202+AF202+AH202+AJ202+AL202)&gt;0.00001),"Ошибка в -",IF((K202+AB202+AD202+AF202+AH202+AJ202+AL202)&gt;L202,"Ошибка в +",IF(L202&gt;(K202+AB202+AD202+AF202+AH202+AJ202+AL202),2025,IF(AL202&gt;0,2024,IF(AJ202&gt;0,2023,IF(AH202&gt;0,2022,IF(AF202&gt;0,2021,IF(AD202&gt;0,2020,IF(AB202&gt;0,2019,IF(K202&gt;0,2018,"нд"))))))))))</f>
        <v>2025</v>
      </c>
      <c r="H202" s="46">
        <f t="shared" ref="H202:H211" si="378">IF(AND((Q202-(K202+AC202+AE202+AG202+AI202+AK202+AM202))&lt;0.1,Q202-(K202+AC202+AE202+AG202+AI202+AK202+AM202)&gt;0.0001),"Ошибка в -",IF((K202+AC202+AE202+AG202+AI202+AK202+AM202)&gt;Q202,"Ошибка в +",IF(Q202&gt;(K202+AC202+AE202+AG202+AI202+AK202+AM202),2025,IF(AM202&gt;0,2024,IF(AK202&gt;0,2023,IF(AI202&gt;0,2022,IF(AG202&gt;0,2021,IF(AE202&gt;0,2020,IF(AC202&gt;0,2019,IF(K202&gt;0,2018,"нд"))))))))))</f>
        <v>2020</v>
      </c>
      <c r="I202" s="29" t="s">
        <v>131</v>
      </c>
      <c r="J202" s="20">
        <v>180.67400000000001</v>
      </c>
      <c r="K202" s="20">
        <v>0</v>
      </c>
      <c r="L202" s="20">
        <f t="shared" si="335"/>
        <v>182.28600000000003</v>
      </c>
      <c r="M202" s="20">
        <v>9.1150000000000002</v>
      </c>
      <c r="N202" s="20">
        <v>45.575000000000003</v>
      </c>
      <c r="O202" s="20">
        <v>116.67200000000001</v>
      </c>
      <c r="P202" s="20">
        <f>10.938-0.014</f>
        <v>10.924000000000001</v>
      </c>
      <c r="Q202" s="20">
        <v>182.28600000000003</v>
      </c>
      <c r="R202" s="20">
        <f>0.05*Q202</f>
        <v>9.1143000000000018</v>
      </c>
      <c r="S202" s="20">
        <f>0.25*Q202</f>
        <v>45.571500000000007</v>
      </c>
      <c r="T202" s="20">
        <f>0.64*Q202</f>
        <v>116.66304000000002</v>
      </c>
      <c r="U202" s="20">
        <f>0.06*Q202</f>
        <v>10.937160000000002</v>
      </c>
      <c r="V202" s="20">
        <v>0</v>
      </c>
      <c r="W202" s="20">
        <f t="shared" si="344"/>
        <v>182.28600000000003</v>
      </c>
      <c r="X202" s="20"/>
      <c r="Y202" s="20">
        <f t="shared" ref="Y202:Y216" si="379">W202-(AB202+AD202+AF202)</f>
        <v>1.6000000000000227</v>
      </c>
      <c r="Z202" s="28"/>
      <c r="AA202" s="20">
        <f t="shared" ref="AA202:AA216" si="380">Q202-(K202+AC202+AE202+AG202)</f>
        <v>0</v>
      </c>
      <c r="AB202" s="28">
        <v>180.68600000000001</v>
      </c>
      <c r="AC202" s="20">
        <v>180.68600000000001</v>
      </c>
      <c r="AD202" s="102">
        <v>0</v>
      </c>
      <c r="AE202" s="28">
        <v>1.6</v>
      </c>
      <c r="AF202" s="28"/>
      <c r="AG202" s="28"/>
      <c r="AH202" s="28"/>
      <c r="AI202" s="28"/>
      <c r="AJ202" s="28"/>
      <c r="AK202" s="28"/>
      <c r="AL202" s="28"/>
      <c r="AM202" s="28"/>
      <c r="AN202" s="20">
        <f t="shared" si="337"/>
        <v>0</v>
      </c>
      <c r="AO202" s="20">
        <f t="shared" si="337"/>
        <v>1.6</v>
      </c>
      <c r="AP202" s="94"/>
      <c r="AQ202" s="69"/>
      <c r="AR202" s="85">
        <f t="shared" si="272"/>
        <v>1.6000000000000227</v>
      </c>
      <c r="AS202" s="85">
        <f t="shared" si="273"/>
        <v>0</v>
      </c>
      <c r="AT202" s="113">
        <f t="shared" si="310"/>
        <v>0</v>
      </c>
      <c r="AV202" s="105">
        <f t="shared" si="309"/>
        <v>2.2648549702353193E-14</v>
      </c>
      <c r="AX202" s="31">
        <f>J202-Q202</f>
        <v>-1.6120000000000232</v>
      </c>
      <c r="AY202" s="15"/>
      <c r="AZ202" s="118"/>
      <c r="BA202" s="118"/>
      <c r="BB202" s="118"/>
      <c r="BC202" s="118"/>
      <c r="BD202" s="8"/>
      <c r="BE202" s="118">
        <f t="shared" si="265"/>
        <v>0</v>
      </c>
      <c r="BF202" s="118">
        <f t="shared" si="266"/>
        <v>0</v>
      </c>
      <c r="BG202" s="118">
        <f t="shared" si="267"/>
        <v>0</v>
      </c>
      <c r="BH202" s="118">
        <f t="shared" si="268"/>
        <v>0</v>
      </c>
      <c r="BI202" s="122">
        <f t="shared" si="269"/>
        <v>0</v>
      </c>
      <c r="BJ202" s="118">
        <f t="shared" ref="BJ202:BJ216" si="381">(AO202+AC202+K202)-Q202</f>
        <v>0</v>
      </c>
      <c r="BK202" s="108">
        <v>2020</v>
      </c>
      <c r="BL202" s="8" t="b">
        <f t="shared" ref="BL202:BL216" si="382">EXACT(BK202,H202)</f>
        <v>1</v>
      </c>
      <c r="BM202" s="128">
        <f t="shared" si="240"/>
        <v>182.286</v>
      </c>
      <c r="BN202" s="129">
        <f t="shared" si="352"/>
        <v>0</v>
      </c>
      <c r="BR202" s="73">
        <f t="shared" ref="BR202:BR216" si="383">K202/$BR$15</f>
        <v>0</v>
      </c>
      <c r="BS202" s="73">
        <f t="shared" ref="BS202:BS216" si="384">AC202/$BS$15</f>
        <v>172.08190476190475</v>
      </c>
      <c r="BT202" s="73">
        <f t="shared" ref="BT202:BT216" si="385">AE202/$BT$15</f>
        <v>1.460204174962624</v>
      </c>
      <c r="BU202" s="73">
        <f t="shared" ref="BU202:BU216" si="386">AG202/$BU$15</f>
        <v>0</v>
      </c>
      <c r="BV202" s="73">
        <f t="shared" ref="BV202:BV216" si="387">AI202/$BV$15</f>
        <v>0</v>
      </c>
      <c r="BW202" s="73">
        <f t="shared" ref="BW202:BW216" si="388">AK202/$BW$15</f>
        <v>0</v>
      </c>
      <c r="BX202" s="73">
        <f t="shared" ref="BX202:BX216" si="389">AM202/$BX$15</f>
        <v>0</v>
      </c>
      <c r="BY202" s="73">
        <f t="shared" ref="BY202:BY216" si="390">(Q202-K202-AC202-AE202-AG202-AI202-AK202-AM202)/$BY$15</f>
        <v>1.6696711724464151E-14</v>
      </c>
      <c r="BZ202" s="74">
        <f t="shared" ref="BZ202:BZ216" si="391">SUM(BR202:BY202)*1.2</f>
        <v>208.25053072424089</v>
      </c>
      <c r="CB202" s="75">
        <f t="shared" si="262"/>
        <v>208.25053072424089</v>
      </c>
      <c r="CE202" s="8"/>
      <c r="CJ202" s="70">
        <f t="shared" si="270"/>
        <v>-2.4868995751603507E-14</v>
      </c>
      <c r="CL202" s="163"/>
      <c r="CM202" s="68"/>
      <c r="CN202" s="28"/>
      <c r="CQ202" s="177">
        <f t="shared" si="263"/>
        <v>1.6</v>
      </c>
      <c r="CR202" s="177">
        <f t="shared" si="264"/>
        <v>1.6</v>
      </c>
    </row>
    <row r="203" spans="1:96" ht="20.25" x14ac:dyDescent="0.3">
      <c r="A203" s="44" t="s">
        <v>525</v>
      </c>
      <c r="B203" s="51" t="s">
        <v>113</v>
      </c>
      <c r="C203" s="76" t="s">
        <v>373</v>
      </c>
      <c r="D203" s="28" t="s">
        <v>434</v>
      </c>
      <c r="E203" s="21" t="s">
        <v>181</v>
      </c>
      <c r="F203" s="21">
        <f t="shared" si="376"/>
        <v>2022</v>
      </c>
      <c r="G203" s="46">
        <f t="shared" si="377"/>
        <v>2022</v>
      </c>
      <c r="H203" s="46">
        <f t="shared" si="378"/>
        <v>2023</v>
      </c>
      <c r="I203" s="29" t="s">
        <v>131</v>
      </c>
      <c r="J203" s="28" t="s">
        <v>131</v>
      </c>
      <c r="K203" s="20">
        <v>0</v>
      </c>
      <c r="L203" s="20">
        <f t="shared" si="335"/>
        <v>297.7</v>
      </c>
      <c r="M203" s="20">
        <v>14.885</v>
      </c>
      <c r="N203" s="20">
        <v>74.424999999999997</v>
      </c>
      <c r="O203" s="20">
        <v>190.52799999999999</v>
      </c>
      <c r="P203" s="20">
        <v>17.861999999999998</v>
      </c>
      <c r="Q203" s="20">
        <v>320.2</v>
      </c>
      <c r="R203" s="20">
        <f>0.05*Q203</f>
        <v>16.010000000000002</v>
      </c>
      <c r="S203" s="20">
        <f>0.25*Q203</f>
        <v>80.05</v>
      </c>
      <c r="T203" s="20">
        <f>0.64*Q203</f>
        <v>204.928</v>
      </c>
      <c r="U203" s="20">
        <f>0.06*Q203</f>
        <v>19.212</v>
      </c>
      <c r="V203" s="20">
        <v>0</v>
      </c>
      <c r="W203" s="20">
        <f t="shared" si="344"/>
        <v>297.7</v>
      </c>
      <c r="X203" s="20"/>
      <c r="Y203" s="20">
        <f t="shared" si="379"/>
        <v>297.7</v>
      </c>
      <c r="Z203" s="28"/>
      <c r="AA203" s="20">
        <f t="shared" si="380"/>
        <v>320.2</v>
      </c>
      <c r="AB203" s="28">
        <v>0</v>
      </c>
      <c r="AC203" s="20">
        <v>0</v>
      </c>
      <c r="AD203" s="28"/>
      <c r="AE203" s="28"/>
      <c r="AF203" s="28"/>
      <c r="AG203" s="28"/>
      <c r="AH203" s="28">
        <v>297.7</v>
      </c>
      <c r="AI203" s="28">
        <v>112</v>
      </c>
      <c r="AJ203" s="28"/>
      <c r="AK203" s="28">
        <v>208.2</v>
      </c>
      <c r="AL203" s="28"/>
      <c r="AM203" s="28"/>
      <c r="AN203" s="20">
        <f t="shared" ref="AN203:AO234" si="392">SUM(AD203+AF203+AH203+AJ203+AL203)</f>
        <v>297.7</v>
      </c>
      <c r="AO203" s="20">
        <f t="shared" si="392"/>
        <v>320.2</v>
      </c>
      <c r="AP203" s="94"/>
      <c r="AQ203" s="86"/>
      <c r="AR203" s="85">
        <f t="shared" si="272"/>
        <v>0</v>
      </c>
      <c r="AS203" s="85">
        <f t="shared" si="273"/>
        <v>0</v>
      </c>
      <c r="AT203" s="113">
        <f t="shared" si="310"/>
        <v>22.5</v>
      </c>
      <c r="AV203" s="105">
        <f t="shared" si="309"/>
        <v>0</v>
      </c>
      <c r="AX203" s="31"/>
      <c r="AY203" s="15"/>
      <c r="AZ203" s="118"/>
      <c r="BA203" s="118">
        <v>297.95</v>
      </c>
      <c r="BB203" s="118"/>
      <c r="BC203" s="118"/>
      <c r="BD203" s="8"/>
      <c r="BE203" s="118">
        <f t="shared" si="265"/>
        <v>0</v>
      </c>
      <c r="BF203" s="118">
        <f t="shared" si="266"/>
        <v>-185.95</v>
      </c>
      <c r="BG203" s="118">
        <f t="shared" si="267"/>
        <v>208.2</v>
      </c>
      <c r="BH203" s="118">
        <f t="shared" si="268"/>
        <v>0</v>
      </c>
      <c r="BI203" s="122">
        <f t="shared" si="269"/>
        <v>22.25</v>
      </c>
      <c r="BJ203" s="118">
        <f t="shared" si="381"/>
        <v>0</v>
      </c>
      <c r="BK203" s="108">
        <v>2022</v>
      </c>
      <c r="BL203" s="8" t="b">
        <f t="shared" si="382"/>
        <v>0</v>
      </c>
      <c r="BM203" s="128">
        <f t="shared" si="240"/>
        <v>320.2</v>
      </c>
      <c r="BN203" s="129">
        <f t="shared" si="352"/>
        <v>0</v>
      </c>
      <c r="BR203" s="73">
        <f t="shared" si="383"/>
        <v>0</v>
      </c>
      <c r="BS203" s="73">
        <f t="shared" si="384"/>
        <v>0</v>
      </c>
      <c r="BT203" s="73">
        <f t="shared" si="385"/>
        <v>0</v>
      </c>
      <c r="BU203" s="73">
        <f t="shared" si="386"/>
        <v>0</v>
      </c>
      <c r="BV203" s="73">
        <f t="shared" si="387"/>
        <v>93.998072690202122</v>
      </c>
      <c r="BW203" s="73">
        <f t="shared" si="388"/>
        <v>167.38724846862448</v>
      </c>
      <c r="BX203" s="73">
        <f t="shared" si="389"/>
        <v>0</v>
      </c>
      <c r="BY203" s="73">
        <f t="shared" si="390"/>
        <v>0</v>
      </c>
      <c r="BZ203" s="74">
        <f t="shared" si="391"/>
        <v>313.66238539059196</v>
      </c>
      <c r="CB203" s="75">
        <f t="shared" si="262"/>
        <v>313.66238539059196</v>
      </c>
      <c r="CE203" s="8"/>
      <c r="CJ203" s="70">
        <f t="shared" si="270"/>
        <v>0</v>
      </c>
      <c r="CL203" s="163"/>
      <c r="CM203" s="68"/>
      <c r="CN203" s="28"/>
      <c r="CQ203" s="177">
        <f t="shared" si="263"/>
        <v>297.7</v>
      </c>
      <c r="CR203" s="177">
        <f t="shared" si="264"/>
        <v>0</v>
      </c>
    </row>
    <row r="204" spans="1:96" ht="20.25" x14ac:dyDescent="0.3">
      <c r="A204" s="44" t="s">
        <v>525</v>
      </c>
      <c r="B204" s="51" t="s">
        <v>113</v>
      </c>
      <c r="C204" s="78" t="s">
        <v>371</v>
      </c>
      <c r="D204" s="28" t="s">
        <v>438</v>
      </c>
      <c r="E204" s="21" t="s">
        <v>181</v>
      </c>
      <c r="F204" s="21">
        <f t="shared" si="376"/>
        <v>2023</v>
      </c>
      <c r="G204" s="46">
        <f t="shared" si="377"/>
        <v>2023</v>
      </c>
      <c r="H204" s="46">
        <f t="shared" si="378"/>
        <v>2023</v>
      </c>
      <c r="I204" s="22" t="s">
        <v>131</v>
      </c>
      <c r="J204" s="20" t="s">
        <v>131</v>
      </c>
      <c r="K204" s="20">
        <v>0</v>
      </c>
      <c r="L204" s="20">
        <f t="shared" si="335"/>
        <v>81.599999999999994</v>
      </c>
      <c r="M204" s="20">
        <v>5.7119999999999997</v>
      </c>
      <c r="N204" s="20">
        <v>70.175999999999988</v>
      </c>
      <c r="O204" s="20">
        <v>0</v>
      </c>
      <c r="P204" s="20">
        <v>5.7119999999999997</v>
      </c>
      <c r="Q204" s="20">
        <v>91.88</v>
      </c>
      <c r="R204" s="20">
        <f>0.07*Q204</f>
        <v>6.4316000000000004</v>
      </c>
      <c r="S204" s="20">
        <f>0.86*Q204</f>
        <v>79.016799999999989</v>
      </c>
      <c r="T204" s="20">
        <f>0*Q204</f>
        <v>0</v>
      </c>
      <c r="U204" s="20">
        <f>0.07*Q204</f>
        <v>6.4316000000000004</v>
      </c>
      <c r="V204" s="20">
        <v>0</v>
      </c>
      <c r="W204" s="20">
        <f t="shared" si="344"/>
        <v>81.599999999999994</v>
      </c>
      <c r="X204" s="20"/>
      <c r="Y204" s="20">
        <f t="shared" si="379"/>
        <v>81.599999999999994</v>
      </c>
      <c r="Z204" s="28"/>
      <c r="AA204" s="20">
        <f t="shared" si="380"/>
        <v>91.88</v>
      </c>
      <c r="AB204" s="20">
        <v>0</v>
      </c>
      <c r="AC204" s="20">
        <v>0</v>
      </c>
      <c r="AD204" s="20"/>
      <c r="AE204" s="20"/>
      <c r="AF204" s="20"/>
      <c r="AG204" s="20"/>
      <c r="AH204" s="20"/>
      <c r="AI204" s="20">
        <v>0</v>
      </c>
      <c r="AJ204" s="20">
        <v>81.599999999999994</v>
      </c>
      <c r="AK204" s="20">
        <v>91.88</v>
      </c>
      <c r="AL204" s="20"/>
      <c r="AM204" s="20"/>
      <c r="AN204" s="20">
        <f t="shared" si="392"/>
        <v>81.599999999999994</v>
      </c>
      <c r="AO204" s="20">
        <f t="shared" si="392"/>
        <v>91.88</v>
      </c>
      <c r="AP204" s="94"/>
      <c r="AQ204" s="86"/>
      <c r="AR204" s="85">
        <f t="shared" si="272"/>
        <v>0</v>
      </c>
      <c r="AS204" s="85">
        <f t="shared" si="273"/>
        <v>0</v>
      </c>
      <c r="AT204" s="113">
        <f t="shared" si="310"/>
        <v>10.280000000000001</v>
      </c>
      <c r="AV204" s="105">
        <f t="shared" si="309"/>
        <v>0</v>
      </c>
      <c r="AX204" s="31"/>
      <c r="AY204" s="15"/>
      <c r="AZ204" s="118"/>
      <c r="BA204" s="118">
        <v>83.49</v>
      </c>
      <c r="BB204" s="118"/>
      <c r="BC204" s="118"/>
      <c r="BD204" s="8"/>
      <c r="BE204" s="118">
        <f t="shared" si="265"/>
        <v>0</v>
      </c>
      <c r="BF204" s="118">
        <f t="shared" si="266"/>
        <v>-83.49</v>
      </c>
      <c r="BG204" s="118">
        <f t="shared" si="267"/>
        <v>91.88</v>
      </c>
      <c r="BH204" s="118">
        <f t="shared" si="268"/>
        <v>0</v>
      </c>
      <c r="BI204" s="122">
        <f t="shared" si="269"/>
        <v>8.39</v>
      </c>
      <c r="BJ204" s="118">
        <f t="shared" si="381"/>
        <v>0</v>
      </c>
      <c r="BK204" s="108">
        <v>2022</v>
      </c>
      <c r="BL204" s="8" t="b">
        <f t="shared" si="382"/>
        <v>0</v>
      </c>
      <c r="BM204" s="128">
        <f t="shared" si="240"/>
        <v>91.88</v>
      </c>
      <c r="BN204" s="129">
        <f t="shared" si="352"/>
        <v>0</v>
      </c>
      <c r="BR204" s="73">
        <f t="shared" si="383"/>
        <v>0</v>
      </c>
      <c r="BS204" s="73">
        <f t="shared" si="384"/>
        <v>0</v>
      </c>
      <c r="BT204" s="73">
        <f t="shared" si="385"/>
        <v>0</v>
      </c>
      <c r="BU204" s="73">
        <f t="shared" si="386"/>
        <v>0</v>
      </c>
      <c r="BV204" s="73">
        <f t="shared" si="387"/>
        <v>0</v>
      </c>
      <c r="BW204" s="73">
        <f t="shared" si="388"/>
        <v>73.869070073473665</v>
      </c>
      <c r="BX204" s="73">
        <f t="shared" si="389"/>
        <v>0</v>
      </c>
      <c r="BY204" s="73">
        <f t="shared" si="390"/>
        <v>0</v>
      </c>
      <c r="BZ204" s="74">
        <f t="shared" si="391"/>
        <v>88.642884088168401</v>
      </c>
      <c r="CB204" s="75">
        <f t="shared" si="262"/>
        <v>88.642884088168401</v>
      </c>
      <c r="CE204" s="8"/>
      <c r="CJ204" s="70">
        <f t="shared" si="270"/>
        <v>0</v>
      </c>
      <c r="CL204" s="163"/>
      <c r="CM204" s="68"/>
      <c r="CN204" s="20"/>
      <c r="CQ204" s="177">
        <f t="shared" si="263"/>
        <v>81.599999999999994</v>
      </c>
      <c r="CR204" s="177">
        <f t="shared" si="264"/>
        <v>0</v>
      </c>
    </row>
    <row r="205" spans="1:96" s="8" customFormat="1" ht="54.75" customHeight="1" x14ac:dyDescent="0.3">
      <c r="A205" s="44" t="s">
        <v>531</v>
      </c>
      <c r="B205" s="51" t="s">
        <v>113</v>
      </c>
      <c r="C205" s="76" t="s">
        <v>403</v>
      </c>
      <c r="D205" s="28" t="s">
        <v>315</v>
      </c>
      <c r="E205" s="21" t="s">
        <v>487</v>
      </c>
      <c r="F205" s="21">
        <f t="shared" si="376"/>
        <v>2020</v>
      </c>
      <c r="G205" s="46">
        <f t="shared" si="377"/>
        <v>2025</v>
      </c>
      <c r="H205" s="46">
        <f t="shared" si="378"/>
        <v>2020</v>
      </c>
      <c r="I205" s="22" t="s">
        <v>131</v>
      </c>
      <c r="J205" s="20">
        <f>Q205</f>
        <v>157.19999999999999</v>
      </c>
      <c r="K205" s="20">
        <v>0</v>
      </c>
      <c r="L205" s="20">
        <f t="shared" si="335"/>
        <v>157.19999999999999</v>
      </c>
      <c r="M205" s="20">
        <v>10.149617802363588</v>
      </c>
      <c r="N205" s="20">
        <v>113.04308524013074</v>
      </c>
      <c r="O205" s="20">
        <v>26.724395272818708</v>
      </c>
      <c r="P205" s="103">
        <v>7.2829016846869488</v>
      </c>
      <c r="Q205" s="20">
        <v>157.19999999999999</v>
      </c>
      <c r="R205" s="20">
        <f t="shared" ref="R205:R209" si="393">M205/L205*Q205</f>
        <v>10.149617802363588</v>
      </c>
      <c r="S205" s="20">
        <f t="shared" ref="S205:S209" si="394">N205/L205*Q205</f>
        <v>113.04308524013074</v>
      </c>
      <c r="T205" s="20">
        <f t="shared" ref="T205:T209" si="395">O205/L205*Q205</f>
        <v>26.724395272818708</v>
      </c>
      <c r="U205" s="20">
        <f t="shared" ref="U205:U209" si="396">P205/L205*Q205</f>
        <v>7.2829016846869488</v>
      </c>
      <c r="V205" s="20">
        <v>0</v>
      </c>
      <c r="W205" s="20">
        <f t="shared" si="344"/>
        <v>157.19999999999999</v>
      </c>
      <c r="X205" s="20"/>
      <c r="Y205" s="20">
        <f t="shared" si="379"/>
        <v>31.399999999999991</v>
      </c>
      <c r="Z205" s="28"/>
      <c r="AA205" s="20">
        <f t="shared" si="380"/>
        <v>0</v>
      </c>
      <c r="AB205" s="20">
        <v>0</v>
      </c>
      <c r="AC205" s="20">
        <v>0</v>
      </c>
      <c r="AD205" s="174">
        <v>125.8</v>
      </c>
      <c r="AE205" s="20">
        <v>157.19999999999999</v>
      </c>
      <c r="AF205" s="20"/>
      <c r="AG205" s="20"/>
      <c r="AH205" s="20"/>
      <c r="AI205" s="20"/>
      <c r="AJ205" s="20"/>
      <c r="AK205" s="20"/>
      <c r="AL205" s="20"/>
      <c r="AM205" s="20"/>
      <c r="AN205" s="20">
        <f t="shared" si="392"/>
        <v>125.8</v>
      </c>
      <c r="AO205" s="20">
        <f t="shared" si="392"/>
        <v>157.19999999999999</v>
      </c>
      <c r="AP205" s="94"/>
      <c r="AQ205" s="86"/>
      <c r="AR205" s="85">
        <f t="shared" si="272"/>
        <v>31.399999999999991</v>
      </c>
      <c r="AS205" s="85">
        <f t="shared" si="273"/>
        <v>0</v>
      </c>
      <c r="AT205" s="113">
        <f t="shared" si="310"/>
        <v>0</v>
      </c>
      <c r="AV205" s="105">
        <f t="shared" si="309"/>
        <v>0</v>
      </c>
      <c r="AX205" s="31">
        <f t="shared" ref="AX205:AX207" si="397">J205-Q205</f>
        <v>0</v>
      </c>
      <c r="AY205" s="15"/>
      <c r="AZ205" s="118"/>
      <c r="BA205" s="118"/>
      <c r="BB205" s="118"/>
      <c r="BC205" s="118"/>
      <c r="BE205" s="118">
        <f t="shared" si="265"/>
        <v>0</v>
      </c>
      <c r="BF205" s="118">
        <f t="shared" si="266"/>
        <v>0</v>
      </c>
      <c r="BG205" s="118">
        <f t="shared" si="267"/>
        <v>0</v>
      </c>
      <c r="BH205" s="118">
        <f t="shared" si="268"/>
        <v>0</v>
      </c>
      <c r="BI205" s="122">
        <f t="shared" si="269"/>
        <v>0</v>
      </c>
      <c r="BJ205" s="118">
        <f t="shared" si="381"/>
        <v>0</v>
      </c>
      <c r="BK205" s="44">
        <v>2020</v>
      </c>
      <c r="BL205" s="8" t="b">
        <f t="shared" si="382"/>
        <v>1</v>
      </c>
      <c r="BM205" s="128">
        <f t="shared" si="240"/>
        <v>157.19999999999999</v>
      </c>
      <c r="BN205" s="129">
        <f t="shared" si="352"/>
        <v>0</v>
      </c>
      <c r="BR205" s="73">
        <f t="shared" si="383"/>
        <v>0</v>
      </c>
      <c r="BS205" s="73">
        <f t="shared" si="384"/>
        <v>0</v>
      </c>
      <c r="BT205" s="73">
        <f t="shared" si="385"/>
        <v>143.46506019007779</v>
      </c>
      <c r="BU205" s="73">
        <f t="shared" si="386"/>
        <v>0</v>
      </c>
      <c r="BV205" s="73">
        <f t="shared" si="387"/>
        <v>0</v>
      </c>
      <c r="BW205" s="73">
        <f t="shared" si="388"/>
        <v>0</v>
      </c>
      <c r="BX205" s="73">
        <f t="shared" si="389"/>
        <v>0</v>
      </c>
      <c r="BY205" s="73">
        <f t="shared" si="390"/>
        <v>0</v>
      </c>
      <c r="BZ205" s="74">
        <f t="shared" si="391"/>
        <v>172.15807222809335</v>
      </c>
      <c r="CB205" s="75">
        <f t="shared" si="262"/>
        <v>172.15807222809335</v>
      </c>
      <c r="CJ205" s="70">
        <f t="shared" si="270"/>
        <v>0</v>
      </c>
      <c r="CK205" s="166"/>
      <c r="CL205" s="163"/>
      <c r="CM205" s="68"/>
      <c r="CN205" s="20">
        <v>125.78</v>
      </c>
      <c r="CQ205" s="177">
        <f t="shared" si="263"/>
        <v>157.19999999999999</v>
      </c>
      <c r="CR205" s="177">
        <f t="shared" si="264"/>
        <v>31.399999999999991</v>
      </c>
    </row>
    <row r="206" spans="1:96" s="8" customFormat="1" ht="53.25" customHeight="1" x14ac:dyDescent="0.3">
      <c r="A206" s="44" t="s">
        <v>531</v>
      </c>
      <c r="B206" s="51" t="s">
        <v>113</v>
      </c>
      <c r="C206" s="80" t="s">
        <v>405</v>
      </c>
      <c r="D206" s="28" t="s">
        <v>317</v>
      </c>
      <c r="E206" s="21" t="s">
        <v>181</v>
      </c>
      <c r="F206" s="21">
        <f t="shared" si="376"/>
        <v>2021</v>
      </c>
      <c r="G206" s="46" t="str">
        <f t="shared" si="377"/>
        <v>Ошибка в +</v>
      </c>
      <c r="H206" s="46">
        <f t="shared" si="378"/>
        <v>2022</v>
      </c>
      <c r="I206" s="22" t="s">
        <v>131</v>
      </c>
      <c r="J206" s="28">
        <f>Q206</f>
        <v>198.83135480999999</v>
      </c>
      <c r="K206" s="20">
        <v>0</v>
      </c>
      <c r="L206" s="20">
        <f t="shared" si="335"/>
        <v>164.3</v>
      </c>
      <c r="M206" s="20">
        <v>5.3469791999999998</v>
      </c>
      <c r="N206" s="20">
        <v>120.76970080000001</v>
      </c>
      <c r="O206" s="20">
        <v>27.931000000000004</v>
      </c>
      <c r="P206" s="103">
        <v>10.252320000000001</v>
      </c>
      <c r="Q206" s="20">
        <v>198.83135480999999</v>
      </c>
      <c r="R206" s="20">
        <f t="shared" si="393"/>
        <v>6.4707676109366394</v>
      </c>
      <c r="S206" s="20">
        <f t="shared" si="394"/>
        <v>146.15218034121938</v>
      </c>
      <c r="T206" s="20">
        <f t="shared" si="395"/>
        <v>33.8013303177</v>
      </c>
      <c r="U206" s="20">
        <f t="shared" si="396"/>
        <v>12.407076540144001</v>
      </c>
      <c r="V206" s="20">
        <v>0</v>
      </c>
      <c r="W206" s="20">
        <f t="shared" si="344"/>
        <v>164.3</v>
      </c>
      <c r="X206" s="20"/>
      <c r="Y206" s="20">
        <f t="shared" si="379"/>
        <v>39.300000000000011</v>
      </c>
      <c r="Z206" s="28"/>
      <c r="AA206" s="20">
        <f t="shared" si="380"/>
        <v>197.86775480999998</v>
      </c>
      <c r="AB206" s="20">
        <v>0</v>
      </c>
      <c r="AC206" s="20">
        <v>0</v>
      </c>
      <c r="AD206" s="174">
        <v>125</v>
      </c>
      <c r="AE206" s="20"/>
      <c r="AF206" s="20"/>
      <c r="AG206" s="20">
        <v>0.96360000000000001</v>
      </c>
      <c r="AH206" s="20">
        <v>164.3</v>
      </c>
      <c r="AI206" s="20">
        <v>197.86775480999998</v>
      </c>
      <c r="AJ206" s="20"/>
      <c r="AK206" s="20"/>
      <c r="AL206" s="20"/>
      <c r="AM206" s="20"/>
      <c r="AN206" s="20">
        <f>SUM(AF206+AH206+AJ206+AL206)</f>
        <v>164.3</v>
      </c>
      <c r="AO206" s="20">
        <f t="shared" si="392"/>
        <v>198.83135480999999</v>
      </c>
      <c r="AP206" s="94" t="s">
        <v>452</v>
      </c>
      <c r="AQ206" s="86"/>
      <c r="AR206" s="85">
        <f t="shared" si="272"/>
        <v>-125</v>
      </c>
      <c r="AS206" s="85">
        <f t="shared" si="273"/>
        <v>0</v>
      </c>
      <c r="AT206" s="113">
        <f t="shared" si="310"/>
        <v>34.531354809999982</v>
      </c>
      <c r="AV206" s="105">
        <f t="shared" si="309"/>
        <v>0</v>
      </c>
      <c r="AX206" s="31">
        <f t="shared" si="397"/>
        <v>0</v>
      </c>
      <c r="AY206" s="15"/>
      <c r="AZ206" s="118">
        <v>0.96360000000000001</v>
      </c>
      <c r="BA206" s="118">
        <v>197.86775480999998</v>
      </c>
      <c r="BB206" s="118"/>
      <c r="BC206" s="118"/>
      <c r="BE206" s="118">
        <f t="shared" si="265"/>
        <v>0</v>
      </c>
      <c r="BF206" s="118">
        <f t="shared" si="266"/>
        <v>0</v>
      </c>
      <c r="BG206" s="118">
        <f t="shared" si="267"/>
        <v>0</v>
      </c>
      <c r="BH206" s="118">
        <f t="shared" si="268"/>
        <v>0</v>
      </c>
      <c r="BI206" s="122">
        <f t="shared" si="269"/>
        <v>0</v>
      </c>
      <c r="BJ206" s="118">
        <f t="shared" si="381"/>
        <v>0</v>
      </c>
      <c r="BK206" s="44">
        <v>2022</v>
      </c>
      <c r="BL206" s="8" t="b">
        <f t="shared" si="382"/>
        <v>1</v>
      </c>
      <c r="BM206" s="128">
        <f t="shared" si="240"/>
        <v>198.83135480999999</v>
      </c>
      <c r="BN206" s="129">
        <f t="shared" si="352"/>
        <v>0</v>
      </c>
      <c r="BR206" s="73">
        <f t="shared" si="383"/>
        <v>0</v>
      </c>
      <c r="BS206" s="73">
        <f t="shared" si="384"/>
        <v>0</v>
      </c>
      <c r="BT206" s="73">
        <f t="shared" si="385"/>
        <v>0</v>
      </c>
      <c r="BU206" s="73">
        <f t="shared" si="386"/>
        <v>0.8436562451106302</v>
      </c>
      <c r="BV206" s="73">
        <f t="shared" si="387"/>
        <v>166.06417499712026</v>
      </c>
      <c r="BW206" s="73">
        <f t="shared" si="388"/>
        <v>0</v>
      </c>
      <c r="BX206" s="73">
        <f t="shared" si="389"/>
        <v>0</v>
      </c>
      <c r="BY206" s="73">
        <f t="shared" si="390"/>
        <v>0</v>
      </c>
      <c r="BZ206" s="74">
        <f t="shared" si="391"/>
        <v>200.28939749067706</v>
      </c>
      <c r="CB206" s="75">
        <f t="shared" si="262"/>
        <v>200.28939749067706</v>
      </c>
      <c r="CJ206" s="70">
        <f t="shared" si="270"/>
        <v>-1.7763568394002505E-14</v>
      </c>
      <c r="CK206" s="166"/>
      <c r="CL206" s="163"/>
      <c r="CM206" s="68"/>
      <c r="CN206" s="20">
        <v>125</v>
      </c>
      <c r="CQ206" s="177">
        <f t="shared" si="263"/>
        <v>165.26360000000003</v>
      </c>
      <c r="CR206" s="177">
        <f t="shared" si="264"/>
        <v>0.96360000000001378</v>
      </c>
    </row>
    <row r="207" spans="1:96" s="8" customFormat="1" ht="54.75" customHeight="1" x14ac:dyDescent="0.3">
      <c r="A207" s="44" t="s">
        <v>531</v>
      </c>
      <c r="B207" s="51" t="s">
        <v>113</v>
      </c>
      <c r="C207" s="80" t="s">
        <v>406</v>
      </c>
      <c r="D207" s="28" t="s">
        <v>217</v>
      </c>
      <c r="E207" s="21" t="s">
        <v>487</v>
      </c>
      <c r="F207" s="21">
        <f t="shared" si="376"/>
        <v>2020</v>
      </c>
      <c r="G207" s="46">
        <f t="shared" si="377"/>
        <v>2025</v>
      </c>
      <c r="H207" s="46">
        <f t="shared" si="378"/>
        <v>2020</v>
      </c>
      <c r="I207" s="22" t="s">
        <v>131</v>
      </c>
      <c r="J207" s="20">
        <f>Q207</f>
        <v>196.4</v>
      </c>
      <c r="K207" s="20">
        <v>0</v>
      </c>
      <c r="L207" s="20">
        <f t="shared" si="335"/>
        <v>196.4</v>
      </c>
      <c r="M207" s="20">
        <v>6.3932127999999997</v>
      </c>
      <c r="N207" s="20">
        <v>144.36342720000002</v>
      </c>
      <c r="O207" s="20">
        <v>33.388000000000005</v>
      </c>
      <c r="P207" s="103">
        <v>12.25536</v>
      </c>
      <c r="Q207" s="20">
        <v>196.4</v>
      </c>
      <c r="R207" s="20">
        <f t="shared" si="393"/>
        <v>6.3932127999999997</v>
      </c>
      <c r="S207" s="20">
        <f t="shared" si="394"/>
        <v>144.36342720000002</v>
      </c>
      <c r="T207" s="20">
        <f t="shared" si="395"/>
        <v>33.388000000000005</v>
      </c>
      <c r="U207" s="20">
        <f t="shared" si="396"/>
        <v>12.25536</v>
      </c>
      <c r="V207" s="20">
        <v>0</v>
      </c>
      <c r="W207" s="20">
        <f t="shared" si="344"/>
        <v>196.4</v>
      </c>
      <c r="X207" s="20"/>
      <c r="Y207" s="20">
        <f t="shared" si="379"/>
        <v>71.400000000000006</v>
      </c>
      <c r="Z207" s="28"/>
      <c r="AA207" s="20">
        <f t="shared" si="380"/>
        <v>0</v>
      </c>
      <c r="AB207" s="20">
        <v>0</v>
      </c>
      <c r="AC207" s="20">
        <v>0</v>
      </c>
      <c r="AD207" s="174">
        <v>125</v>
      </c>
      <c r="AE207" s="20">
        <v>196.4</v>
      </c>
      <c r="AF207" s="20"/>
      <c r="AG207" s="20"/>
      <c r="AH207" s="20"/>
      <c r="AI207" s="20"/>
      <c r="AJ207" s="20"/>
      <c r="AK207" s="20"/>
      <c r="AL207" s="20"/>
      <c r="AM207" s="20"/>
      <c r="AN207" s="20">
        <f t="shared" si="392"/>
        <v>125</v>
      </c>
      <c r="AO207" s="20">
        <f t="shared" si="392"/>
        <v>196.4</v>
      </c>
      <c r="AP207" s="94"/>
      <c r="AQ207" s="86"/>
      <c r="AR207" s="85">
        <f t="shared" si="272"/>
        <v>71.400000000000006</v>
      </c>
      <c r="AS207" s="85">
        <f t="shared" si="273"/>
        <v>0</v>
      </c>
      <c r="AT207" s="113">
        <f t="shared" si="310"/>
        <v>0</v>
      </c>
      <c r="AV207" s="105">
        <f t="shared" si="309"/>
        <v>0</v>
      </c>
      <c r="AX207" s="31">
        <f t="shared" si="397"/>
        <v>0</v>
      </c>
      <c r="AY207" s="15"/>
      <c r="AZ207" s="118"/>
      <c r="BA207" s="118"/>
      <c r="BB207" s="118"/>
      <c r="BC207" s="118"/>
      <c r="BE207" s="118">
        <f t="shared" si="265"/>
        <v>0</v>
      </c>
      <c r="BF207" s="118">
        <f t="shared" si="266"/>
        <v>0</v>
      </c>
      <c r="BG207" s="118">
        <f t="shared" si="267"/>
        <v>0</v>
      </c>
      <c r="BH207" s="118">
        <f t="shared" si="268"/>
        <v>0</v>
      </c>
      <c r="BI207" s="122">
        <f t="shared" si="269"/>
        <v>0</v>
      </c>
      <c r="BJ207" s="118">
        <f t="shared" si="381"/>
        <v>0</v>
      </c>
      <c r="BK207" s="44">
        <v>2020</v>
      </c>
      <c r="BL207" s="8" t="b">
        <f t="shared" si="382"/>
        <v>1</v>
      </c>
      <c r="BM207" s="128">
        <f t="shared" si="240"/>
        <v>196.4</v>
      </c>
      <c r="BN207" s="129">
        <f t="shared" si="352"/>
        <v>0</v>
      </c>
      <c r="BR207" s="73">
        <f t="shared" si="383"/>
        <v>0</v>
      </c>
      <c r="BS207" s="73">
        <f t="shared" si="384"/>
        <v>0</v>
      </c>
      <c r="BT207" s="73">
        <f t="shared" si="385"/>
        <v>179.2400624766621</v>
      </c>
      <c r="BU207" s="73">
        <f t="shared" si="386"/>
        <v>0</v>
      </c>
      <c r="BV207" s="73">
        <f t="shared" si="387"/>
        <v>0</v>
      </c>
      <c r="BW207" s="73">
        <f t="shared" si="388"/>
        <v>0</v>
      </c>
      <c r="BX207" s="73">
        <f t="shared" si="389"/>
        <v>0</v>
      </c>
      <c r="BY207" s="73">
        <f t="shared" si="390"/>
        <v>0</v>
      </c>
      <c r="BZ207" s="74">
        <f t="shared" si="391"/>
        <v>215.08807497199453</v>
      </c>
      <c r="CB207" s="75">
        <f t="shared" si="262"/>
        <v>215.08807497199453</v>
      </c>
      <c r="CJ207" s="70">
        <f t="shared" si="270"/>
        <v>0</v>
      </c>
      <c r="CK207" s="166"/>
      <c r="CL207" s="163"/>
      <c r="CM207" s="68"/>
      <c r="CN207" s="20">
        <v>125</v>
      </c>
      <c r="CQ207" s="177">
        <f t="shared" si="263"/>
        <v>196.4</v>
      </c>
      <c r="CR207" s="177">
        <f t="shared" si="264"/>
        <v>71.400000000000006</v>
      </c>
    </row>
    <row r="208" spans="1:96" s="8" customFormat="1" ht="37.5" x14ac:dyDescent="0.3">
      <c r="A208" s="44" t="s">
        <v>531</v>
      </c>
      <c r="B208" s="51" t="s">
        <v>113</v>
      </c>
      <c r="C208" s="80" t="s">
        <v>407</v>
      </c>
      <c r="D208" s="28" t="s">
        <v>318</v>
      </c>
      <c r="E208" s="21" t="s">
        <v>181</v>
      </c>
      <c r="F208" s="21">
        <f t="shared" si="376"/>
        <v>2022</v>
      </c>
      <c r="G208" s="46">
        <f t="shared" si="377"/>
        <v>2023</v>
      </c>
      <c r="H208" s="46">
        <f t="shared" si="378"/>
        <v>2025</v>
      </c>
      <c r="I208" s="22" t="s">
        <v>131</v>
      </c>
      <c r="J208" s="20" t="s">
        <v>131</v>
      </c>
      <c r="K208" s="20">
        <v>0</v>
      </c>
      <c r="L208" s="20">
        <f t="shared" si="335"/>
        <v>163</v>
      </c>
      <c r="M208" s="20">
        <v>6.51</v>
      </c>
      <c r="N208" s="20">
        <v>117.88</v>
      </c>
      <c r="O208" s="20">
        <v>27.71</v>
      </c>
      <c r="P208" s="103">
        <v>10.9</v>
      </c>
      <c r="Q208" s="20">
        <v>163</v>
      </c>
      <c r="R208" s="20">
        <f t="shared" si="393"/>
        <v>6.51</v>
      </c>
      <c r="S208" s="20">
        <f t="shared" si="394"/>
        <v>117.88</v>
      </c>
      <c r="T208" s="20">
        <f t="shared" si="395"/>
        <v>27.71</v>
      </c>
      <c r="U208" s="20">
        <f t="shared" si="396"/>
        <v>10.9</v>
      </c>
      <c r="V208" s="20">
        <v>0</v>
      </c>
      <c r="W208" s="20">
        <f t="shared" si="344"/>
        <v>163</v>
      </c>
      <c r="X208" s="20"/>
      <c r="Y208" s="20">
        <f t="shared" si="379"/>
        <v>156.5</v>
      </c>
      <c r="Z208" s="28"/>
      <c r="AA208" s="20">
        <f t="shared" si="380"/>
        <v>163</v>
      </c>
      <c r="AB208" s="20">
        <v>0</v>
      </c>
      <c r="AC208" s="20">
        <v>0</v>
      </c>
      <c r="AD208" s="20"/>
      <c r="AE208" s="20"/>
      <c r="AF208" s="20">
        <v>6.5</v>
      </c>
      <c r="AG208" s="20">
        <v>0</v>
      </c>
      <c r="AH208" s="20"/>
      <c r="AI208" s="20">
        <v>6.3556456699999995</v>
      </c>
      <c r="AJ208" s="20">
        <v>156.5</v>
      </c>
      <c r="AK208" s="20">
        <v>0.87647900000000001</v>
      </c>
      <c r="AL208" s="20"/>
      <c r="AM208" s="20">
        <v>0.87647900000000001</v>
      </c>
      <c r="AN208" s="20">
        <f t="shared" si="392"/>
        <v>163</v>
      </c>
      <c r="AO208" s="20">
        <f t="shared" si="392"/>
        <v>8.108603669999999</v>
      </c>
      <c r="AP208" s="94" t="s">
        <v>551</v>
      </c>
      <c r="AQ208" s="86"/>
      <c r="AR208" s="85">
        <f t="shared" si="272"/>
        <v>0</v>
      </c>
      <c r="AS208" s="85">
        <f t="shared" si="273"/>
        <v>154.89139632999999</v>
      </c>
      <c r="AT208" s="113">
        <f t="shared" si="310"/>
        <v>0</v>
      </c>
      <c r="AV208" s="105">
        <f t="shared" si="309"/>
        <v>154.89139633000002</v>
      </c>
      <c r="AX208" s="31"/>
      <c r="AY208" s="15"/>
      <c r="AZ208" s="118">
        <v>0</v>
      </c>
      <c r="BA208" s="118">
        <v>6.3556456699999995</v>
      </c>
      <c r="BB208" s="118">
        <v>0.87647900000000001</v>
      </c>
      <c r="BC208" s="118">
        <v>0.87647900000000001</v>
      </c>
      <c r="BE208" s="118">
        <f t="shared" si="265"/>
        <v>0</v>
      </c>
      <c r="BF208" s="118">
        <f t="shared" si="266"/>
        <v>0</v>
      </c>
      <c r="BG208" s="118">
        <f t="shared" si="267"/>
        <v>0</v>
      </c>
      <c r="BH208" s="118">
        <f t="shared" si="268"/>
        <v>0</v>
      </c>
      <c r="BI208" s="122">
        <f t="shared" si="269"/>
        <v>0</v>
      </c>
      <c r="BJ208" s="125">
        <f t="shared" si="381"/>
        <v>-154.89139632999999</v>
      </c>
      <c r="BK208" s="44">
        <v>2025</v>
      </c>
      <c r="BL208" s="8" t="b">
        <f t="shared" si="382"/>
        <v>1</v>
      </c>
      <c r="BM208" s="128">
        <f t="shared" si="240"/>
        <v>8.108603669999999</v>
      </c>
      <c r="BN208" s="129">
        <f t="shared" si="352"/>
        <v>-154.89139632999999</v>
      </c>
      <c r="BR208" s="73">
        <f t="shared" si="383"/>
        <v>0</v>
      </c>
      <c r="BS208" s="73">
        <f t="shared" si="384"/>
        <v>0</v>
      </c>
      <c r="BT208" s="73">
        <f t="shared" si="385"/>
        <v>0</v>
      </c>
      <c r="BU208" s="73">
        <f t="shared" si="386"/>
        <v>0</v>
      </c>
      <c r="BV208" s="73">
        <f t="shared" si="387"/>
        <v>5.3340932471591813</v>
      </c>
      <c r="BW208" s="73">
        <f t="shared" si="388"/>
        <v>0.704665745199479</v>
      </c>
      <c r="BX208" s="73">
        <f t="shared" si="389"/>
        <v>0.67477287093024718</v>
      </c>
      <c r="BY208" s="73">
        <f t="shared" si="390"/>
        <v>114.18731120134505</v>
      </c>
      <c r="BZ208" s="74">
        <f t="shared" si="391"/>
        <v>145.08101167756075</v>
      </c>
      <c r="CB208" s="75">
        <f t="shared" si="262"/>
        <v>145.08101167756072</v>
      </c>
      <c r="CJ208" s="70">
        <f t="shared" si="270"/>
        <v>0</v>
      </c>
      <c r="CK208" s="166"/>
      <c r="CL208" s="163"/>
      <c r="CM208" s="68"/>
      <c r="CN208" s="20"/>
      <c r="CQ208" s="177">
        <f t="shared" si="263"/>
        <v>156.5</v>
      </c>
      <c r="CR208" s="177">
        <f t="shared" si="264"/>
        <v>-6.5</v>
      </c>
    </row>
    <row r="209" spans="1:96" s="8" customFormat="1" ht="54" customHeight="1" x14ac:dyDescent="0.3">
      <c r="A209" s="44" t="s">
        <v>531</v>
      </c>
      <c r="B209" s="51" t="s">
        <v>113</v>
      </c>
      <c r="C209" s="80" t="s">
        <v>409</v>
      </c>
      <c r="D209" s="28" t="s">
        <v>218</v>
      </c>
      <c r="E209" s="21" t="s">
        <v>487</v>
      </c>
      <c r="F209" s="21">
        <f t="shared" si="376"/>
        <v>2019</v>
      </c>
      <c r="G209" s="46">
        <f t="shared" si="377"/>
        <v>2025</v>
      </c>
      <c r="H209" s="46">
        <f t="shared" si="378"/>
        <v>2020</v>
      </c>
      <c r="I209" s="22" t="s">
        <v>131</v>
      </c>
      <c r="J209" s="20">
        <f t="shared" ref="J209:J210" si="398">Q209</f>
        <v>1007.3951</v>
      </c>
      <c r="K209" s="20">
        <v>0</v>
      </c>
      <c r="L209" s="20">
        <f t="shared" si="335"/>
        <v>1007.3951</v>
      </c>
      <c r="M209" s="20">
        <v>41.806250810530408</v>
      </c>
      <c r="N209" s="20">
        <v>755.53432265594597</v>
      </c>
      <c r="O209" s="20">
        <v>171.25799999999998</v>
      </c>
      <c r="P209" s="103">
        <f>38.8014265335235-0.0049</f>
        <v>38.796526533523497</v>
      </c>
      <c r="Q209" s="20">
        <v>1007.3951</v>
      </c>
      <c r="R209" s="20">
        <f t="shared" si="393"/>
        <v>41.806250810530408</v>
      </c>
      <c r="S209" s="20">
        <f t="shared" si="394"/>
        <v>755.53432265594597</v>
      </c>
      <c r="T209" s="20">
        <f t="shared" si="395"/>
        <v>171.25799999999998</v>
      </c>
      <c r="U209" s="20">
        <f t="shared" si="396"/>
        <v>38.796526533523497</v>
      </c>
      <c r="V209" s="20">
        <v>0</v>
      </c>
      <c r="W209" s="20">
        <f t="shared" si="344"/>
        <v>1007.3951</v>
      </c>
      <c r="X209" s="20"/>
      <c r="Y209" s="20">
        <f t="shared" si="379"/>
        <v>49.365699999999947</v>
      </c>
      <c r="Z209" s="28"/>
      <c r="AA209" s="20">
        <f t="shared" si="380"/>
        <v>0</v>
      </c>
      <c r="AB209" s="20">
        <v>486.92939999999999</v>
      </c>
      <c r="AC209" s="20">
        <v>486.92939999999999</v>
      </c>
      <c r="AD209" s="174">
        <v>471.1</v>
      </c>
      <c r="AE209" s="20">
        <v>520.46569999999997</v>
      </c>
      <c r="AF209" s="20"/>
      <c r="AG209" s="20"/>
      <c r="AH209" s="20"/>
      <c r="AI209" s="20"/>
      <c r="AJ209" s="20"/>
      <c r="AK209" s="20"/>
      <c r="AL209" s="20"/>
      <c r="AM209" s="20"/>
      <c r="AN209" s="20">
        <f t="shared" si="392"/>
        <v>471.1</v>
      </c>
      <c r="AO209" s="20">
        <f t="shared" si="392"/>
        <v>520.46569999999997</v>
      </c>
      <c r="AP209" s="94"/>
      <c r="AQ209" s="69"/>
      <c r="AR209" s="85">
        <f t="shared" si="272"/>
        <v>49.365699999999947</v>
      </c>
      <c r="AS209" s="85">
        <f t="shared" si="273"/>
        <v>0</v>
      </c>
      <c r="AT209" s="113">
        <f t="shared" si="310"/>
        <v>0</v>
      </c>
      <c r="AV209" s="105">
        <f t="shared" si="309"/>
        <v>0</v>
      </c>
      <c r="AX209" s="31">
        <f t="shared" ref="AX209:AX210" si="399">J209-Q209</f>
        <v>0</v>
      </c>
      <c r="AY209" s="15"/>
      <c r="AZ209" s="118"/>
      <c r="BA209" s="118"/>
      <c r="BB209" s="118"/>
      <c r="BC209" s="118"/>
      <c r="BE209" s="118">
        <f t="shared" si="265"/>
        <v>0</v>
      </c>
      <c r="BF209" s="118">
        <f t="shared" si="266"/>
        <v>0</v>
      </c>
      <c r="BG209" s="118">
        <f t="shared" si="267"/>
        <v>0</v>
      </c>
      <c r="BH209" s="118">
        <f t="shared" si="268"/>
        <v>0</v>
      </c>
      <c r="BI209" s="122">
        <f t="shared" si="269"/>
        <v>0</v>
      </c>
      <c r="BJ209" s="118">
        <f t="shared" si="381"/>
        <v>0</v>
      </c>
      <c r="BK209" s="44">
        <v>2020</v>
      </c>
      <c r="BL209" s="8" t="b">
        <f t="shared" si="382"/>
        <v>1</v>
      </c>
      <c r="BM209" s="128">
        <f t="shared" si="240"/>
        <v>1007.3951</v>
      </c>
      <c r="BN209" s="129">
        <f t="shared" si="352"/>
        <v>0</v>
      </c>
      <c r="BR209" s="73">
        <f t="shared" si="383"/>
        <v>0</v>
      </c>
      <c r="BS209" s="73">
        <f t="shared" si="384"/>
        <v>463.74228571428569</v>
      </c>
      <c r="BT209" s="73">
        <f t="shared" si="385"/>
        <v>474.99136754052779</v>
      </c>
      <c r="BU209" s="73">
        <f t="shared" si="386"/>
        <v>0</v>
      </c>
      <c r="BV209" s="73">
        <f t="shared" si="387"/>
        <v>0</v>
      </c>
      <c r="BW209" s="73">
        <f t="shared" si="388"/>
        <v>0</v>
      </c>
      <c r="BX209" s="73">
        <f t="shared" si="389"/>
        <v>0</v>
      </c>
      <c r="BY209" s="73">
        <f t="shared" si="390"/>
        <v>0</v>
      </c>
      <c r="BZ209" s="74">
        <f t="shared" si="391"/>
        <v>1126.4803839057761</v>
      </c>
      <c r="CB209" s="75">
        <f t="shared" si="262"/>
        <v>1126.4803839057761</v>
      </c>
      <c r="CJ209" s="70">
        <f t="shared" si="270"/>
        <v>1.0658141036401503E-13</v>
      </c>
      <c r="CK209" s="166"/>
      <c r="CL209" s="163"/>
      <c r="CM209" s="68"/>
      <c r="CN209" s="20">
        <v>471.1</v>
      </c>
      <c r="CQ209" s="177">
        <f t="shared" si="263"/>
        <v>520.46569999999997</v>
      </c>
      <c r="CR209" s="177">
        <f t="shared" si="264"/>
        <v>49.365699999999947</v>
      </c>
    </row>
    <row r="210" spans="1:96" s="8" customFormat="1" ht="37.5" x14ac:dyDescent="0.3">
      <c r="A210" s="44" t="s">
        <v>531</v>
      </c>
      <c r="B210" s="51" t="s">
        <v>113</v>
      </c>
      <c r="C210" s="80" t="s">
        <v>451</v>
      </c>
      <c r="D210" s="28" t="s">
        <v>514</v>
      </c>
      <c r="E210" s="21" t="s">
        <v>487</v>
      </c>
      <c r="F210" s="21">
        <f t="shared" si="376"/>
        <v>2020</v>
      </c>
      <c r="G210" s="46">
        <f t="shared" si="377"/>
        <v>2025</v>
      </c>
      <c r="H210" s="46">
        <f t="shared" si="378"/>
        <v>2021</v>
      </c>
      <c r="I210" s="22" t="s">
        <v>131</v>
      </c>
      <c r="J210" s="20">
        <f t="shared" si="398"/>
        <v>210.4016</v>
      </c>
      <c r="K210" s="20">
        <v>0</v>
      </c>
      <c r="L210" s="20">
        <f t="shared" si="335"/>
        <v>215.68180000000001</v>
      </c>
      <c r="M210" s="20">
        <v>8.6272719999999996</v>
      </c>
      <c r="N210" s="20">
        <v>161.76134999999999</v>
      </c>
      <c r="O210" s="20">
        <v>36.665906</v>
      </c>
      <c r="P210" s="103">
        <v>8.6272719999999996</v>
      </c>
      <c r="Q210" s="20">
        <v>210.4016</v>
      </c>
      <c r="R210" s="20">
        <f>Q210*0.04</f>
        <v>8.4160640000000004</v>
      </c>
      <c r="S210" s="20">
        <f>Q210*0.75</f>
        <v>157.80119999999999</v>
      </c>
      <c r="T210" s="20">
        <f>Q210*0.17</f>
        <v>35.768272000000003</v>
      </c>
      <c r="U210" s="20">
        <f>Q210*0.04</f>
        <v>8.4160640000000004</v>
      </c>
      <c r="V210" s="20">
        <v>0</v>
      </c>
      <c r="W210" s="20">
        <f t="shared" si="344"/>
        <v>215.68180000000001</v>
      </c>
      <c r="X210" s="20"/>
      <c r="Y210" s="20">
        <f t="shared" si="379"/>
        <v>0.14700000000001978</v>
      </c>
      <c r="Z210" s="28"/>
      <c r="AA210" s="20">
        <f t="shared" si="380"/>
        <v>0</v>
      </c>
      <c r="AB210" s="20">
        <v>0</v>
      </c>
      <c r="AC210" s="20">
        <v>0</v>
      </c>
      <c r="AD210" s="107">
        <v>0</v>
      </c>
      <c r="AE210" s="20">
        <v>0.14699999999999999</v>
      </c>
      <c r="AF210" s="20">
        <v>215.53479999999999</v>
      </c>
      <c r="AG210" s="20">
        <v>210.25460000000001</v>
      </c>
      <c r="AH210" s="20"/>
      <c r="AI210" s="20"/>
      <c r="AJ210" s="20"/>
      <c r="AK210" s="20"/>
      <c r="AL210" s="20"/>
      <c r="AM210" s="20"/>
      <c r="AN210" s="20">
        <f t="shared" si="392"/>
        <v>215.53479999999999</v>
      </c>
      <c r="AO210" s="20">
        <f t="shared" si="392"/>
        <v>210.4016</v>
      </c>
      <c r="AP210" s="94" t="s">
        <v>452</v>
      </c>
      <c r="AQ210" s="86"/>
      <c r="AR210" s="85">
        <f t="shared" si="272"/>
        <v>0.14700000000001978</v>
      </c>
      <c r="AS210" s="85">
        <f t="shared" si="273"/>
        <v>0</v>
      </c>
      <c r="AT210" s="113">
        <f t="shared" si="310"/>
        <v>-5.2802000000000078</v>
      </c>
      <c r="AV210" s="105">
        <f t="shared" si="309"/>
        <v>0</v>
      </c>
      <c r="AX210" s="31">
        <f t="shared" si="399"/>
        <v>0</v>
      </c>
      <c r="AY210" s="15"/>
      <c r="AZ210" s="118">
        <v>210.25460000000001</v>
      </c>
      <c r="BA210" s="118"/>
      <c r="BB210" s="118"/>
      <c r="BC210" s="118"/>
      <c r="BE210" s="118">
        <f t="shared" si="265"/>
        <v>0</v>
      </c>
      <c r="BF210" s="118">
        <f t="shared" si="266"/>
        <v>0</v>
      </c>
      <c r="BG210" s="118">
        <f t="shared" si="267"/>
        <v>0</v>
      </c>
      <c r="BH210" s="118">
        <f t="shared" si="268"/>
        <v>0</v>
      </c>
      <c r="BI210" s="122">
        <f t="shared" si="269"/>
        <v>0</v>
      </c>
      <c r="BJ210" s="118">
        <f t="shared" si="381"/>
        <v>0</v>
      </c>
      <c r="BK210" s="44">
        <v>2021</v>
      </c>
      <c r="BL210" s="8" t="b">
        <f t="shared" si="382"/>
        <v>1</v>
      </c>
      <c r="BM210" s="128">
        <f t="shared" ref="BM210:BM263" si="400">K210+AC210+AE210+AG210+AI210+AK210+AM210</f>
        <v>210.4016</v>
      </c>
      <c r="BN210" s="129">
        <f t="shared" si="352"/>
        <v>0</v>
      </c>
      <c r="BR210" s="73">
        <f t="shared" si="383"/>
        <v>0</v>
      </c>
      <c r="BS210" s="73">
        <f t="shared" si="384"/>
        <v>0</v>
      </c>
      <c r="BT210" s="73">
        <f t="shared" si="385"/>
        <v>0.13415625857469107</v>
      </c>
      <c r="BU210" s="73">
        <f t="shared" si="386"/>
        <v>184.08323614906342</v>
      </c>
      <c r="BV210" s="73">
        <f t="shared" si="387"/>
        <v>0</v>
      </c>
      <c r="BW210" s="73">
        <f t="shared" si="388"/>
        <v>0</v>
      </c>
      <c r="BX210" s="73">
        <f t="shared" si="389"/>
        <v>0</v>
      </c>
      <c r="BY210" s="73">
        <f t="shared" si="390"/>
        <v>0</v>
      </c>
      <c r="BZ210" s="74">
        <f t="shared" si="391"/>
        <v>221.06087088916573</v>
      </c>
      <c r="CB210" s="75">
        <f t="shared" si="262"/>
        <v>221.06087088916573</v>
      </c>
      <c r="CJ210" s="70">
        <f t="shared" si="270"/>
        <v>0</v>
      </c>
      <c r="CK210" s="166"/>
      <c r="CL210" s="163"/>
      <c r="CM210" s="68"/>
      <c r="CN210" s="20"/>
      <c r="CQ210" s="177">
        <f t="shared" si="263"/>
        <v>210.4016</v>
      </c>
      <c r="CR210" s="177">
        <f t="shared" si="264"/>
        <v>-5.133199999999988</v>
      </c>
    </row>
    <row r="211" spans="1:96" s="8" customFormat="1" ht="49.5" x14ac:dyDescent="0.3">
      <c r="A211" s="44" t="s">
        <v>531</v>
      </c>
      <c r="B211" s="51" t="s">
        <v>113</v>
      </c>
      <c r="C211" s="80" t="s">
        <v>410</v>
      </c>
      <c r="D211" s="28" t="s">
        <v>439</v>
      </c>
      <c r="E211" s="21" t="s">
        <v>181</v>
      </c>
      <c r="F211" s="21">
        <f t="shared" si="376"/>
        <v>2022</v>
      </c>
      <c r="G211" s="46">
        <f t="shared" si="377"/>
        <v>2023</v>
      </c>
      <c r="H211" s="46">
        <f t="shared" si="378"/>
        <v>2025</v>
      </c>
      <c r="I211" s="22" t="s">
        <v>131</v>
      </c>
      <c r="J211" s="20" t="s">
        <v>131</v>
      </c>
      <c r="K211" s="20">
        <v>0</v>
      </c>
      <c r="L211" s="20">
        <f t="shared" si="335"/>
        <v>200</v>
      </c>
      <c r="M211" s="20">
        <v>8</v>
      </c>
      <c r="N211" s="20">
        <v>150</v>
      </c>
      <c r="O211" s="20">
        <v>34</v>
      </c>
      <c r="P211" s="103">
        <v>8</v>
      </c>
      <c r="Q211" s="20">
        <v>200</v>
      </c>
      <c r="R211" s="20">
        <f>Q211*0.04</f>
        <v>8</v>
      </c>
      <c r="S211" s="20">
        <f>Q211*0.75</f>
        <v>150</v>
      </c>
      <c r="T211" s="20">
        <f>Q211*0.17</f>
        <v>34</v>
      </c>
      <c r="U211" s="20">
        <f>Q211*0.04</f>
        <v>8</v>
      </c>
      <c r="V211" s="20">
        <v>0</v>
      </c>
      <c r="W211" s="20">
        <f t="shared" si="344"/>
        <v>200</v>
      </c>
      <c r="X211" s="20"/>
      <c r="Y211" s="20">
        <f t="shared" si="379"/>
        <v>200</v>
      </c>
      <c r="Z211" s="28"/>
      <c r="AA211" s="20">
        <f t="shared" si="380"/>
        <v>200</v>
      </c>
      <c r="AB211" s="20">
        <v>0</v>
      </c>
      <c r="AC211" s="20">
        <v>0</v>
      </c>
      <c r="AD211" s="20"/>
      <c r="AE211" s="20"/>
      <c r="AF211" s="20"/>
      <c r="AG211" s="20"/>
      <c r="AH211" s="20">
        <v>100</v>
      </c>
      <c r="AI211" s="20">
        <v>20</v>
      </c>
      <c r="AJ211" s="20">
        <v>100</v>
      </c>
      <c r="AK211" s="20"/>
      <c r="AL211" s="20"/>
      <c r="AM211" s="20">
        <v>0</v>
      </c>
      <c r="AN211" s="20">
        <f t="shared" si="392"/>
        <v>200</v>
      </c>
      <c r="AO211" s="20">
        <f t="shared" si="392"/>
        <v>20</v>
      </c>
      <c r="AP211" s="94" t="s">
        <v>554</v>
      </c>
      <c r="AQ211" s="86"/>
      <c r="AR211" s="85">
        <f t="shared" si="272"/>
        <v>0</v>
      </c>
      <c r="AS211" s="85">
        <f t="shared" si="273"/>
        <v>180</v>
      </c>
      <c r="AT211" s="113">
        <f t="shared" si="310"/>
        <v>0</v>
      </c>
      <c r="AV211" s="105">
        <f t="shared" si="309"/>
        <v>180</v>
      </c>
      <c r="AX211" s="31"/>
      <c r="AY211" s="15"/>
      <c r="AZ211" s="118"/>
      <c r="BA211" s="118">
        <v>20</v>
      </c>
      <c r="BB211" s="118"/>
      <c r="BC211" s="118">
        <v>0</v>
      </c>
      <c r="BE211" s="118">
        <f t="shared" si="265"/>
        <v>0</v>
      </c>
      <c r="BF211" s="118">
        <f t="shared" si="266"/>
        <v>0</v>
      </c>
      <c r="BG211" s="118">
        <f t="shared" si="267"/>
        <v>0</v>
      </c>
      <c r="BH211" s="118">
        <f t="shared" si="268"/>
        <v>0</v>
      </c>
      <c r="BI211" s="122">
        <f t="shared" si="269"/>
        <v>0</v>
      </c>
      <c r="BJ211" s="125">
        <f t="shared" si="381"/>
        <v>-180</v>
      </c>
      <c r="BK211" s="44">
        <v>2025</v>
      </c>
      <c r="BL211" s="8" t="b">
        <f t="shared" si="382"/>
        <v>1</v>
      </c>
      <c r="BM211" s="128">
        <f t="shared" si="400"/>
        <v>20</v>
      </c>
      <c r="BN211" s="129">
        <f t="shared" si="352"/>
        <v>-180</v>
      </c>
      <c r="BR211" s="73">
        <f t="shared" si="383"/>
        <v>0</v>
      </c>
      <c r="BS211" s="73">
        <f t="shared" si="384"/>
        <v>0</v>
      </c>
      <c r="BT211" s="73">
        <f t="shared" si="385"/>
        <v>0</v>
      </c>
      <c r="BU211" s="73">
        <f t="shared" si="386"/>
        <v>0</v>
      </c>
      <c r="BV211" s="73">
        <f t="shared" si="387"/>
        <v>16.785370123250377</v>
      </c>
      <c r="BW211" s="73">
        <f t="shared" si="388"/>
        <v>0</v>
      </c>
      <c r="BX211" s="73">
        <f t="shared" si="389"/>
        <v>0</v>
      </c>
      <c r="BY211" s="73">
        <f t="shared" si="390"/>
        <v>132.69759653048709</v>
      </c>
      <c r="BZ211" s="74">
        <f t="shared" si="391"/>
        <v>179.37955998448496</v>
      </c>
      <c r="CB211" s="75">
        <f t="shared" ref="CB211:CB263" si="401">((Q211-(K211+AC211+AE211+AG211+AI211+AK211+AM211))/$BY$15+K211/$BR$15+AC211/$BS$15+AE211/$BT$15+AG211/$BU$15+AI211/$BV$15+AK211/$BW$15+AM211/$BX$15)*1.2</f>
        <v>179.37955998448496</v>
      </c>
      <c r="CJ211" s="70">
        <f t="shared" si="270"/>
        <v>0</v>
      </c>
      <c r="CK211" s="166"/>
      <c r="CL211" s="163"/>
      <c r="CM211" s="68"/>
      <c r="CN211" s="20"/>
      <c r="CQ211" s="177">
        <f t="shared" ref="CQ211:CQ263" si="402">AE211+AG211+AH211+AJ211+AL211</f>
        <v>200</v>
      </c>
      <c r="CR211" s="177">
        <f t="shared" ref="CR211:CR263" si="403">CQ211-AN211</f>
        <v>0</v>
      </c>
    </row>
    <row r="212" spans="1:96" s="8" customFormat="1" ht="37.5" x14ac:dyDescent="0.3">
      <c r="A212" s="44" t="s">
        <v>531</v>
      </c>
      <c r="B212" s="51" t="s">
        <v>113</v>
      </c>
      <c r="C212" s="82" t="s">
        <v>408</v>
      </c>
      <c r="D212" s="28" t="s">
        <v>319</v>
      </c>
      <c r="E212" s="21" t="s">
        <v>483</v>
      </c>
      <c r="F212" s="21" t="str">
        <f>IF(K212&gt;0,2018,IF(AC212&gt;0,2019,IF(AE212&gt;0,2020,IF(AG212&gt;0,2021,IF(AI212&gt;0,2022,IF(AK212&gt;0,2023,IF(AM212&gt;0,2024,"нд")))))))</f>
        <v>нд</v>
      </c>
      <c r="G212" s="46">
        <f>IF(AND(L212-(K212+AB212+AD212+AF212+AH212+AJ212+AL212)&lt;0.1,L212-(K212+AB212+AD212+AF212+AH212+AJ212+AL212)&gt;0.00001),"Ошибка в -",IF((K212+AB212+AD212+AF212+AH212+AJ212+AL212)&gt;L212,"Ошибка в +",IF(L212&gt;(K212+AB212+AD212+AF212+AH212+AJ212+AL212),2025,IF(AL212&gt;0,2024,IF(AJ212&gt;0,2023,IF(AH212&gt;0,2022,IF(AF212&gt;0,2021,IF(AD212&gt;0,2020,IF(AB212&gt;0,2019,IF(K212&gt;0,2018,"нд"))))))))))</f>
        <v>2024</v>
      </c>
      <c r="H212" s="46" t="str">
        <f>IF(AND((Q212-(K212+AC212+AE212+AG212+AI212+AK212+AM212))&lt;0.1,Q212-(K212+AC212+AE212+AG212+AI212+AK212+AM212)&gt;0.0001),"Ошибка в -",IF((K212+AC212+AE212+AG212+AI212+AK212+AM212)&gt;Q212,"Ошибка в +",IF(Q212&gt;(K212+AC212+AE212+AG212+AI212+AK212+AM212),2025,IF(AM212&gt;0,2024,IF(AK212&gt;0,2023,IF(AI212&gt;0,2022,IF(AG212&gt;0,2021,IF(AE212&gt;0,2020,IF(AC212&gt;0,2019,IF(K212&gt;0,2018,"нд"))))))))))</f>
        <v>нд</v>
      </c>
      <c r="I212" s="22" t="s">
        <v>131</v>
      </c>
      <c r="J212" s="20" t="s">
        <v>131</v>
      </c>
      <c r="K212" s="20">
        <v>0</v>
      </c>
      <c r="L212" s="20">
        <f>M212+N212+O212+P212</f>
        <v>185.44</v>
      </c>
      <c r="M212" s="20">
        <v>7.3339924856634369</v>
      </c>
      <c r="N212" s="20">
        <v>139.98024757761519</v>
      </c>
      <c r="O212" s="20">
        <v>31.525166699624283</v>
      </c>
      <c r="P212" s="103">
        <v>6.600593237097093</v>
      </c>
      <c r="Q212" s="20">
        <v>0</v>
      </c>
      <c r="R212" s="20">
        <f>M212/L212*Q212</f>
        <v>0</v>
      </c>
      <c r="S212" s="20">
        <f>N212/L212*Q212</f>
        <v>0</v>
      </c>
      <c r="T212" s="20">
        <f>O212/L212*Q212</f>
        <v>0</v>
      </c>
      <c r="U212" s="20">
        <f>P212/L212*Q212</f>
        <v>0</v>
      </c>
      <c r="V212" s="20">
        <v>0</v>
      </c>
      <c r="W212" s="20">
        <f>L212-K212</f>
        <v>185.44</v>
      </c>
      <c r="X212" s="20"/>
      <c r="Y212" s="20">
        <f>W212-(AB212+AD212+AF212)</f>
        <v>185.44</v>
      </c>
      <c r="Z212" s="28"/>
      <c r="AA212" s="20">
        <f>Q212-(K212+AC212+AE212+AG212)</f>
        <v>0</v>
      </c>
      <c r="AB212" s="20">
        <v>0</v>
      </c>
      <c r="AC212" s="20">
        <v>0</v>
      </c>
      <c r="AD212" s="20"/>
      <c r="AE212" s="20"/>
      <c r="AF212" s="20"/>
      <c r="AG212" s="20"/>
      <c r="AH212" s="20"/>
      <c r="AI212" s="20"/>
      <c r="AJ212" s="20">
        <v>75.00614496</v>
      </c>
      <c r="AK212" s="20"/>
      <c r="AL212" s="20">
        <v>110.43385504</v>
      </c>
      <c r="AM212" s="20"/>
      <c r="AN212" s="20">
        <f>SUM(AD212+AF212+AH212+AJ212+AL212)</f>
        <v>185.44</v>
      </c>
      <c r="AO212" s="20">
        <f>SUM(AE212+AG212+AI212+AK212+AM212)</f>
        <v>0</v>
      </c>
      <c r="AP212" s="94" t="s">
        <v>550</v>
      </c>
      <c r="AQ212" s="86"/>
      <c r="AR212" s="85">
        <f>L212-(K212+AB212+AD212+AF212+AH212+AJ212+AL212)</f>
        <v>0</v>
      </c>
      <c r="AS212" s="85">
        <f>Q212-(K212+AC212+AE212+AG212+AI212+AK212+AM212)</f>
        <v>0</v>
      </c>
      <c r="AT212" s="113">
        <f>Q212-L212</f>
        <v>-185.44</v>
      </c>
      <c r="AV212" s="105">
        <f t="shared" si="309"/>
        <v>0</v>
      </c>
      <c r="AX212" s="31"/>
      <c r="AY212" s="15"/>
      <c r="AZ212" s="118"/>
      <c r="BA212" s="118"/>
      <c r="BB212" s="118"/>
      <c r="BC212" s="118"/>
      <c r="BE212" s="118">
        <f t="shared" si="265"/>
        <v>0</v>
      </c>
      <c r="BF212" s="118">
        <f t="shared" si="266"/>
        <v>0</v>
      </c>
      <c r="BG212" s="118">
        <f t="shared" si="267"/>
        <v>0</v>
      </c>
      <c r="BH212" s="118">
        <f t="shared" si="268"/>
        <v>0</v>
      </c>
      <c r="BI212" s="122">
        <f t="shared" si="269"/>
        <v>0</v>
      </c>
      <c r="BJ212" s="118">
        <f t="shared" si="381"/>
        <v>0</v>
      </c>
      <c r="BK212" s="44" t="s">
        <v>131</v>
      </c>
      <c r="BL212" s="8" t="b">
        <f t="shared" si="382"/>
        <v>1</v>
      </c>
      <c r="BM212" s="128">
        <f t="shared" si="400"/>
        <v>0</v>
      </c>
      <c r="BN212" s="129">
        <f t="shared" si="352"/>
        <v>0</v>
      </c>
      <c r="BR212" s="73">
        <f>K212/$BR$15</f>
        <v>0</v>
      </c>
      <c r="BS212" s="73">
        <f>AC212/$BS$15</f>
        <v>0</v>
      </c>
      <c r="BT212" s="73">
        <f>AE212/$BT$15</f>
        <v>0</v>
      </c>
      <c r="BU212" s="73">
        <f>AG212/$BU$15</f>
        <v>0</v>
      </c>
      <c r="BV212" s="73">
        <f>AI212/$BV$15</f>
        <v>0</v>
      </c>
      <c r="BW212" s="73">
        <f>AK212/$BW$15</f>
        <v>0</v>
      </c>
      <c r="BX212" s="73">
        <f>AM212/$BX$15</f>
        <v>0</v>
      </c>
      <c r="BY212" s="73">
        <f>(Q212-K212-AC212-AE212-AG212-AI212-AK212-AM212)/$BY$15</f>
        <v>0</v>
      </c>
      <c r="BZ212" s="74">
        <f>SUM(BR212:BY212)*1.2</f>
        <v>0</v>
      </c>
      <c r="CB212" s="75">
        <f>((Q212-(K212+AC212+AE212+AG212+AI212+AK212+AM212))/$BY$15+K212/$BR$15+AC212/$BS$15+AE212/$BT$15+AG212/$BU$15+AI212/$BV$15+AK212/$BW$15+AM212/$BX$15)*1.2</f>
        <v>0</v>
      </c>
      <c r="CJ212" s="70">
        <f>Q212-R212-S212-T212-U212</f>
        <v>0</v>
      </c>
      <c r="CK212" s="166"/>
      <c r="CL212" s="163"/>
      <c r="CM212" s="68"/>
      <c r="CN212" s="20"/>
      <c r="CQ212" s="177">
        <f t="shared" si="402"/>
        <v>185.44</v>
      </c>
      <c r="CR212" s="177">
        <f t="shared" si="403"/>
        <v>0</v>
      </c>
    </row>
    <row r="213" spans="1:96" ht="45" customHeight="1" x14ac:dyDescent="0.3">
      <c r="A213" s="44" t="s">
        <v>525</v>
      </c>
      <c r="B213" s="51" t="s">
        <v>113</v>
      </c>
      <c r="C213" s="81" t="s">
        <v>193</v>
      </c>
      <c r="D213" s="20" t="s">
        <v>313</v>
      </c>
      <c r="E213" s="21" t="s">
        <v>483</v>
      </c>
      <c r="F213" s="21" t="str">
        <f t="shared" ref="F213:F216" si="404">IF(K213&gt;0,2018,IF(AC213&gt;0,2019,IF(AE213&gt;0,2020,IF(AG213&gt;0,2021,IF(AI213&gt;0,2022,IF(AK213&gt;0,2023,IF(AM213&gt;0,2024,"нд")))))))</f>
        <v>нд</v>
      </c>
      <c r="G213" s="46" t="str">
        <f t="shared" ref="G213:G216" si="405">IF(AND(L213-(K213+AB213+AD213+AF213+AH213+AJ213+AL213)&lt;0.1,L213-(K213+AB213+AD213+AF213+AH213+AJ213+AL213)&gt;0.00001),"Ошибка в -",IF((K213+AB213+AD213+AF213+AH213+AJ213+AL213)&gt;L213,"Ошибка в +",IF(L213&gt;(K213+AB213+AD213+AF213+AH213+AJ213+AL213),2025,IF(AL213&gt;0,2024,IF(AJ213&gt;0,2023,IF(AH213&gt;0,2022,IF(AF213&gt;0,2021,IF(AD213&gt;0,2020,IF(AB213&gt;0,2019,IF(K213&gt;0,2018,"нд"))))))))))</f>
        <v>нд</v>
      </c>
      <c r="H213" s="46" t="str">
        <f t="shared" ref="H213:H216" si="406">IF(AND((Q213-(K213+AC213+AE213+AG213+AI213+AK213+AM213))&lt;0.1,Q213-(K213+AC213+AE213+AG213+AI213+AK213+AM213)&gt;0.0001),"Ошибка в -",IF((K213+AC213+AE213+AG213+AI213+AK213+AM213)&gt;Q213,"Ошибка в +",IF(Q213&gt;(K213+AC213+AE213+AG213+AI213+AK213+AM213),2025,IF(AM213&gt;0,2024,IF(AK213&gt;0,2023,IF(AI213&gt;0,2022,IF(AG213&gt;0,2021,IF(AE213&gt;0,2020,IF(AC213&gt;0,2019,IF(K213&gt;0,2018,"нд"))))))))))</f>
        <v>нд</v>
      </c>
      <c r="I213" s="22" t="s">
        <v>131</v>
      </c>
      <c r="J213" s="20" t="s">
        <v>131</v>
      </c>
      <c r="K213" s="20">
        <v>0</v>
      </c>
      <c r="L213" s="20">
        <f t="shared" si="335"/>
        <v>0</v>
      </c>
      <c r="M213" s="20">
        <v>0</v>
      </c>
      <c r="N213" s="20">
        <v>0</v>
      </c>
      <c r="O213" s="20">
        <v>0</v>
      </c>
      <c r="P213" s="20">
        <v>0</v>
      </c>
      <c r="Q213" s="20">
        <v>0</v>
      </c>
      <c r="R213" s="20">
        <v>0</v>
      </c>
      <c r="S213" s="20">
        <v>0</v>
      </c>
      <c r="T213" s="20">
        <v>0</v>
      </c>
      <c r="U213" s="20">
        <v>0</v>
      </c>
      <c r="V213" s="20">
        <v>0</v>
      </c>
      <c r="W213" s="20">
        <f t="shared" si="344"/>
        <v>0</v>
      </c>
      <c r="X213" s="20"/>
      <c r="Y213" s="20">
        <f t="shared" si="379"/>
        <v>0</v>
      </c>
      <c r="Z213" s="28"/>
      <c r="AA213" s="20">
        <f t="shared" si="380"/>
        <v>0</v>
      </c>
      <c r="AB213" s="20">
        <v>0</v>
      </c>
      <c r="AC213" s="20">
        <v>0</v>
      </c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>
        <f t="shared" si="392"/>
        <v>0</v>
      </c>
      <c r="AO213" s="20">
        <f t="shared" si="392"/>
        <v>0</v>
      </c>
      <c r="AP213" s="94" t="s">
        <v>499</v>
      </c>
      <c r="AQ213" s="86"/>
      <c r="AR213" s="85">
        <f t="shared" si="272"/>
        <v>0</v>
      </c>
      <c r="AS213" s="85">
        <f t="shared" si="273"/>
        <v>0</v>
      </c>
      <c r="AT213" s="113">
        <f t="shared" si="310"/>
        <v>0</v>
      </c>
      <c r="AV213" s="105">
        <f t="shared" si="309"/>
        <v>0</v>
      </c>
      <c r="AX213" s="31"/>
      <c r="AY213" s="15"/>
      <c r="AZ213" s="118"/>
      <c r="BA213" s="118"/>
      <c r="BB213" s="118"/>
      <c r="BC213" s="118"/>
      <c r="BD213" s="8"/>
      <c r="BE213" s="118">
        <f t="shared" si="265"/>
        <v>0</v>
      </c>
      <c r="BF213" s="118">
        <f t="shared" si="266"/>
        <v>0</v>
      </c>
      <c r="BG213" s="118">
        <f t="shared" si="267"/>
        <v>0</v>
      </c>
      <c r="BH213" s="118">
        <f t="shared" si="268"/>
        <v>0</v>
      </c>
      <c r="BI213" s="122">
        <f t="shared" si="269"/>
        <v>0</v>
      </c>
      <c r="BJ213" s="118">
        <f t="shared" si="381"/>
        <v>0</v>
      </c>
      <c r="BK213" s="108" t="s">
        <v>131</v>
      </c>
      <c r="BL213" s="8" t="b">
        <f t="shared" si="382"/>
        <v>1</v>
      </c>
      <c r="BM213" s="128">
        <f t="shared" si="400"/>
        <v>0</v>
      </c>
      <c r="BN213" s="129">
        <f t="shared" si="352"/>
        <v>0</v>
      </c>
      <c r="BR213" s="73">
        <f t="shared" si="383"/>
        <v>0</v>
      </c>
      <c r="BS213" s="73">
        <f t="shared" si="384"/>
        <v>0</v>
      </c>
      <c r="BT213" s="73">
        <f t="shared" si="385"/>
        <v>0</v>
      </c>
      <c r="BU213" s="73">
        <f t="shared" si="386"/>
        <v>0</v>
      </c>
      <c r="BV213" s="73">
        <f t="shared" si="387"/>
        <v>0</v>
      </c>
      <c r="BW213" s="73">
        <f t="shared" si="388"/>
        <v>0</v>
      </c>
      <c r="BX213" s="73">
        <f t="shared" si="389"/>
        <v>0</v>
      </c>
      <c r="BY213" s="73">
        <f t="shared" si="390"/>
        <v>0</v>
      </c>
      <c r="BZ213" s="74">
        <f t="shared" si="391"/>
        <v>0</v>
      </c>
      <c r="CB213" s="75">
        <f t="shared" si="401"/>
        <v>0</v>
      </c>
      <c r="CE213" s="8"/>
      <c r="CJ213" s="70">
        <f t="shared" si="270"/>
        <v>0</v>
      </c>
      <c r="CL213" s="163"/>
      <c r="CM213" s="68"/>
      <c r="CN213" s="20"/>
      <c r="CQ213" s="177">
        <f t="shared" si="402"/>
        <v>0</v>
      </c>
      <c r="CR213" s="177">
        <f t="shared" si="403"/>
        <v>0</v>
      </c>
    </row>
    <row r="214" spans="1:96" ht="49.5" x14ac:dyDescent="0.3">
      <c r="A214" s="44" t="s">
        <v>525</v>
      </c>
      <c r="B214" s="51" t="s">
        <v>113</v>
      </c>
      <c r="C214" s="82" t="s">
        <v>360</v>
      </c>
      <c r="D214" s="20" t="s">
        <v>515</v>
      </c>
      <c r="E214" s="21" t="s">
        <v>483</v>
      </c>
      <c r="F214" s="21" t="str">
        <f t="shared" si="404"/>
        <v>нд</v>
      </c>
      <c r="G214" s="46" t="str">
        <f t="shared" si="405"/>
        <v>нд</v>
      </c>
      <c r="H214" s="46" t="str">
        <f t="shared" si="406"/>
        <v>нд</v>
      </c>
      <c r="I214" s="22" t="s">
        <v>131</v>
      </c>
      <c r="J214" s="20" t="s">
        <v>131</v>
      </c>
      <c r="K214" s="20"/>
      <c r="L214" s="20">
        <f t="shared" si="335"/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0">
        <v>0</v>
      </c>
      <c r="S214" s="20">
        <v>0</v>
      </c>
      <c r="T214" s="20">
        <v>0</v>
      </c>
      <c r="U214" s="20">
        <v>0</v>
      </c>
      <c r="V214" s="20">
        <v>0</v>
      </c>
      <c r="W214" s="20">
        <f t="shared" si="344"/>
        <v>0</v>
      </c>
      <c r="X214" s="20"/>
      <c r="Y214" s="20">
        <f t="shared" si="379"/>
        <v>0</v>
      </c>
      <c r="Z214" s="28"/>
      <c r="AA214" s="20">
        <f t="shared" si="380"/>
        <v>0</v>
      </c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>
        <f t="shared" si="392"/>
        <v>0</v>
      </c>
      <c r="AO214" s="20">
        <f t="shared" si="392"/>
        <v>0</v>
      </c>
      <c r="AP214" s="94" t="s">
        <v>499</v>
      </c>
      <c r="AQ214" s="86"/>
      <c r="AR214" s="85">
        <f t="shared" si="272"/>
        <v>0</v>
      </c>
      <c r="AS214" s="85">
        <f t="shared" si="273"/>
        <v>0</v>
      </c>
      <c r="AT214" s="113">
        <f t="shared" si="310"/>
        <v>0</v>
      </c>
      <c r="AV214" s="105">
        <f t="shared" si="309"/>
        <v>0</v>
      </c>
      <c r="AX214" s="31"/>
      <c r="AY214" s="15"/>
      <c r="AZ214" s="118"/>
      <c r="BA214" s="118"/>
      <c r="BB214" s="118"/>
      <c r="BC214" s="118"/>
      <c r="BD214" s="8"/>
      <c r="BE214" s="118">
        <f t="shared" si="265"/>
        <v>0</v>
      </c>
      <c r="BF214" s="118">
        <f t="shared" si="266"/>
        <v>0</v>
      </c>
      <c r="BG214" s="118">
        <f t="shared" si="267"/>
        <v>0</v>
      </c>
      <c r="BH214" s="118">
        <f t="shared" si="268"/>
        <v>0</v>
      </c>
      <c r="BI214" s="122">
        <f t="shared" si="269"/>
        <v>0</v>
      </c>
      <c r="BJ214" s="118">
        <f t="shared" si="381"/>
        <v>0</v>
      </c>
      <c r="BK214" s="108" t="s">
        <v>131</v>
      </c>
      <c r="BL214" s="8" t="b">
        <f t="shared" si="382"/>
        <v>1</v>
      </c>
      <c r="BM214" s="128">
        <f t="shared" si="400"/>
        <v>0</v>
      </c>
      <c r="BN214" s="129">
        <f t="shared" si="352"/>
        <v>0</v>
      </c>
      <c r="BR214" s="73">
        <f t="shared" si="383"/>
        <v>0</v>
      </c>
      <c r="BS214" s="73">
        <f t="shared" si="384"/>
        <v>0</v>
      </c>
      <c r="BT214" s="73">
        <f t="shared" si="385"/>
        <v>0</v>
      </c>
      <c r="BU214" s="73">
        <f t="shared" si="386"/>
        <v>0</v>
      </c>
      <c r="BV214" s="73">
        <f t="shared" si="387"/>
        <v>0</v>
      </c>
      <c r="BW214" s="73">
        <f t="shared" si="388"/>
        <v>0</v>
      </c>
      <c r="BX214" s="73">
        <f t="shared" si="389"/>
        <v>0</v>
      </c>
      <c r="BY214" s="73">
        <f t="shared" si="390"/>
        <v>0</v>
      </c>
      <c r="BZ214" s="74">
        <f t="shared" si="391"/>
        <v>0</v>
      </c>
      <c r="CB214" s="75">
        <f t="shared" si="401"/>
        <v>0</v>
      </c>
      <c r="CE214" s="8"/>
      <c r="CJ214" s="70">
        <f t="shared" si="270"/>
        <v>0</v>
      </c>
      <c r="CL214" s="163"/>
      <c r="CM214" s="68"/>
      <c r="CN214" s="20"/>
      <c r="CQ214" s="177">
        <f t="shared" si="402"/>
        <v>0</v>
      </c>
      <c r="CR214" s="177">
        <f t="shared" si="403"/>
        <v>0</v>
      </c>
    </row>
    <row r="215" spans="1:96" s="8" customFormat="1" ht="49.5" x14ac:dyDescent="0.3">
      <c r="A215" s="44" t="s">
        <v>531</v>
      </c>
      <c r="B215" s="51" t="s">
        <v>113</v>
      </c>
      <c r="C215" s="82" t="s">
        <v>402</v>
      </c>
      <c r="D215" s="28" t="s">
        <v>314</v>
      </c>
      <c r="E215" s="21" t="s">
        <v>483</v>
      </c>
      <c r="F215" s="21" t="str">
        <f t="shared" si="404"/>
        <v>нд</v>
      </c>
      <c r="G215" s="46" t="str">
        <f t="shared" si="405"/>
        <v>Ошибка в +</v>
      </c>
      <c r="H215" s="46" t="str">
        <f t="shared" si="406"/>
        <v>нд</v>
      </c>
      <c r="I215" s="22" t="s">
        <v>131</v>
      </c>
      <c r="J215" s="20" t="s">
        <v>131</v>
      </c>
      <c r="K215" s="20">
        <v>0</v>
      </c>
      <c r="L215" s="20">
        <f t="shared" si="335"/>
        <v>0</v>
      </c>
      <c r="M215" s="20">
        <v>0</v>
      </c>
      <c r="N215" s="20">
        <v>0</v>
      </c>
      <c r="O215" s="20">
        <v>0</v>
      </c>
      <c r="P215" s="103">
        <v>0</v>
      </c>
      <c r="Q215" s="20">
        <v>0</v>
      </c>
      <c r="R215" s="20">
        <v>0</v>
      </c>
      <c r="S215" s="20">
        <v>0</v>
      </c>
      <c r="T215" s="20">
        <v>0</v>
      </c>
      <c r="U215" s="20">
        <v>0</v>
      </c>
      <c r="V215" s="20">
        <v>0</v>
      </c>
      <c r="W215" s="20">
        <f t="shared" si="344"/>
        <v>0</v>
      </c>
      <c r="X215" s="20"/>
      <c r="Y215" s="20">
        <f t="shared" si="379"/>
        <v>-74</v>
      </c>
      <c r="Z215" s="28"/>
      <c r="AA215" s="20">
        <f t="shared" si="380"/>
        <v>0</v>
      </c>
      <c r="AB215" s="20">
        <v>0</v>
      </c>
      <c r="AC215" s="20">
        <v>0</v>
      </c>
      <c r="AD215" s="174">
        <v>74</v>
      </c>
      <c r="AE215" s="20"/>
      <c r="AF215" s="20"/>
      <c r="AG215" s="20"/>
      <c r="AH215" s="20"/>
      <c r="AI215" s="20"/>
      <c r="AJ215" s="20"/>
      <c r="AK215" s="20"/>
      <c r="AL215" s="20"/>
      <c r="AM215" s="20"/>
      <c r="AN215" s="20">
        <f t="shared" si="392"/>
        <v>74</v>
      </c>
      <c r="AO215" s="20">
        <f t="shared" si="392"/>
        <v>0</v>
      </c>
      <c r="AP215" s="94" t="s">
        <v>499</v>
      </c>
      <c r="AQ215" s="86"/>
      <c r="AR215" s="85">
        <f t="shared" si="272"/>
        <v>-74</v>
      </c>
      <c r="AS215" s="85">
        <f t="shared" si="273"/>
        <v>0</v>
      </c>
      <c r="AT215" s="113">
        <f t="shared" si="310"/>
        <v>0</v>
      </c>
      <c r="AV215" s="105">
        <f t="shared" si="309"/>
        <v>0</v>
      </c>
      <c r="AX215" s="31"/>
      <c r="AY215" s="15"/>
      <c r="AZ215" s="118"/>
      <c r="BA215" s="118"/>
      <c r="BB215" s="118"/>
      <c r="BC215" s="118"/>
      <c r="BE215" s="118">
        <f t="shared" si="265"/>
        <v>0</v>
      </c>
      <c r="BF215" s="118">
        <f t="shared" si="266"/>
        <v>0</v>
      </c>
      <c r="BG215" s="118">
        <f t="shared" si="267"/>
        <v>0</v>
      </c>
      <c r="BH215" s="118">
        <f t="shared" si="268"/>
        <v>0</v>
      </c>
      <c r="BI215" s="122">
        <f t="shared" si="269"/>
        <v>0</v>
      </c>
      <c r="BJ215" s="118">
        <f t="shared" si="381"/>
        <v>0</v>
      </c>
      <c r="BK215" s="44" t="s">
        <v>131</v>
      </c>
      <c r="BL215" s="8" t="b">
        <f t="shared" si="382"/>
        <v>1</v>
      </c>
      <c r="BM215" s="128">
        <f t="shared" si="400"/>
        <v>0</v>
      </c>
      <c r="BN215" s="129">
        <f t="shared" si="352"/>
        <v>0</v>
      </c>
      <c r="BR215" s="73">
        <f t="shared" si="383"/>
        <v>0</v>
      </c>
      <c r="BS215" s="73">
        <f t="shared" si="384"/>
        <v>0</v>
      </c>
      <c r="BT215" s="73">
        <f t="shared" si="385"/>
        <v>0</v>
      </c>
      <c r="BU215" s="73">
        <f t="shared" si="386"/>
        <v>0</v>
      </c>
      <c r="BV215" s="73">
        <f t="shared" si="387"/>
        <v>0</v>
      </c>
      <c r="BW215" s="73">
        <f t="shared" si="388"/>
        <v>0</v>
      </c>
      <c r="BX215" s="73">
        <f t="shared" si="389"/>
        <v>0</v>
      </c>
      <c r="BY215" s="73">
        <f t="shared" si="390"/>
        <v>0</v>
      </c>
      <c r="BZ215" s="74">
        <f t="shared" si="391"/>
        <v>0</v>
      </c>
      <c r="CB215" s="75">
        <f t="shared" si="401"/>
        <v>0</v>
      </c>
      <c r="CJ215" s="70">
        <f t="shared" si="270"/>
        <v>0</v>
      </c>
      <c r="CK215" s="166"/>
      <c r="CL215" s="163"/>
      <c r="CM215" s="68"/>
      <c r="CN215" s="20">
        <v>74</v>
      </c>
      <c r="CQ215" s="177">
        <f t="shared" si="402"/>
        <v>0</v>
      </c>
      <c r="CR215" s="177">
        <f t="shared" si="403"/>
        <v>-74</v>
      </c>
    </row>
    <row r="216" spans="1:96" s="8" customFormat="1" ht="49.5" x14ac:dyDescent="0.3">
      <c r="A216" s="44" t="s">
        <v>531</v>
      </c>
      <c r="B216" s="51" t="s">
        <v>113</v>
      </c>
      <c r="C216" s="82" t="s">
        <v>404</v>
      </c>
      <c r="D216" s="28" t="s">
        <v>316</v>
      </c>
      <c r="E216" s="21" t="s">
        <v>483</v>
      </c>
      <c r="F216" s="21" t="str">
        <f t="shared" si="404"/>
        <v>нд</v>
      </c>
      <c r="G216" s="46" t="str">
        <f t="shared" si="405"/>
        <v>нд</v>
      </c>
      <c r="H216" s="46" t="str">
        <f t="shared" si="406"/>
        <v>нд</v>
      </c>
      <c r="I216" s="22" t="s">
        <v>131</v>
      </c>
      <c r="J216" s="20" t="s">
        <v>131</v>
      </c>
      <c r="K216" s="20">
        <v>0</v>
      </c>
      <c r="L216" s="20">
        <f t="shared" si="335"/>
        <v>0</v>
      </c>
      <c r="M216" s="20">
        <v>0</v>
      </c>
      <c r="N216" s="20">
        <v>0</v>
      </c>
      <c r="O216" s="20">
        <v>0</v>
      </c>
      <c r="P216" s="103">
        <v>0</v>
      </c>
      <c r="Q216" s="20">
        <v>0</v>
      </c>
      <c r="R216" s="20">
        <v>0</v>
      </c>
      <c r="S216" s="20">
        <v>0</v>
      </c>
      <c r="T216" s="20">
        <v>0</v>
      </c>
      <c r="U216" s="20">
        <v>0</v>
      </c>
      <c r="V216" s="20">
        <v>0</v>
      </c>
      <c r="W216" s="20">
        <f t="shared" si="344"/>
        <v>0</v>
      </c>
      <c r="X216" s="20"/>
      <c r="Y216" s="20">
        <f t="shared" si="379"/>
        <v>0</v>
      </c>
      <c r="Z216" s="28"/>
      <c r="AA216" s="20">
        <f t="shared" si="380"/>
        <v>0</v>
      </c>
      <c r="AB216" s="20">
        <v>0</v>
      </c>
      <c r="AC216" s="20">
        <v>0</v>
      </c>
      <c r="AD216" s="20">
        <v>0</v>
      </c>
      <c r="AE216" s="20"/>
      <c r="AF216" s="20"/>
      <c r="AG216" s="20"/>
      <c r="AH216" s="20"/>
      <c r="AI216" s="20"/>
      <c r="AJ216" s="20"/>
      <c r="AK216" s="20"/>
      <c r="AL216" s="20"/>
      <c r="AM216" s="20"/>
      <c r="AN216" s="20">
        <f t="shared" si="392"/>
        <v>0</v>
      </c>
      <c r="AO216" s="20">
        <f t="shared" si="392"/>
        <v>0</v>
      </c>
      <c r="AP216" s="94" t="s">
        <v>499</v>
      </c>
      <c r="AQ216" s="86"/>
      <c r="AR216" s="85">
        <f t="shared" si="272"/>
        <v>0</v>
      </c>
      <c r="AS216" s="85">
        <f t="shared" si="273"/>
        <v>0</v>
      </c>
      <c r="AT216" s="113">
        <f t="shared" si="310"/>
        <v>0</v>
      </c>
      <c r="AV216" s="105">
        <f t="shared" si="309"/>
        <v>0</v>
      </c>
      <c r="AX216" s="31"/>
      <c r="AY216" s="15"/>
      <c r="AZ216" s="118"/>
      <c r="BA216" s="118"/>
      <c r="BB216" s="118"/>
      <c r="BC216" s="118"/>
      <c r="BE216" s="118">
        <f t="shared" si="265"/>
        <v>0</v>
      </c>
      <c r="BF216" s="118">
        <f t="shared" si="266"/>
        <v>0</v>
      </c>
      <c r="BG216" s="118">
        <f t="shared" si="267"/>
        <v>0</v>
      </c>
      <c r="BH216" s="118">
        <f t="shared" si="268"/>
        <v>0</v>
      </c>
      <c r="BI216" s="122">
        <f t="shared" si="269"/>
        <v>0</v>
      </c>
      <c r="BJ216" s="118">
        <f t="shared" si="381"/>
        <v>0</v>
      </c>
      <c r="BK216" s="44" t="s">
        <v>131</v>
      </c>
      <c r="BL216" s="8" t="b">
        <f t="shared" si="382"/>
        <v>1</v>
      </c>
      <c r="BM216" s="128">
        <f t="shared" si="400"/>
        <v>0</v>
      </c>
      <c r="BN216" s="129">
        <f t="shared" si="352"/>
        <v>0</v>
      </c>
      <c r="BR216" s="73">
        <f t="shared" si="383"/>
        <v>0</v>
      </c>
      <c r="BS216" s="73">
        <f t="shared" si="384"/>
        <v>0</v>
      </c>
      <c r="BT216" s="73">
        <f t="shared" si="385"/>
        <v>0</v>
      </c>
      <c r="BU216" s="73">
        <f t="shared" si="386"/>
        <v>0</v>
      </c>
      <c r="BV216" s="73">
        <f t="shared" si="387"/>
        <v>0</v>
      </c>
      <c r="BW216" s="73">
        <f t="shared" si="388"/>
        <v>0</v>
      </c>
      <c r="BX216" s="73">
        <f t="shared" si="389"/>
        <v>0</v>
      </c>
      <c r="BY216" s="73">
        <f t="shared" si="390"/>
        <v>0</v>
      </c>
      <c r="BZ216" s="74">
        <f t="shared" si="391"/>
        <v>0</v>
      </c>
      <c r="CB216" s="75">
        <f t="shared" si="401"/>
        <v>0</v>
      </c>
      <c r="CJ216" s="70">
        <f t="shared" si="270"/>
        <v>0</v>
      </c>
      <c r="CK216" s="166"/>
      <c r="CL216" s="163"/>
      <c r="CM216" s="68"/>
      <c r="CN216" s="20"/>
      <c r="CQ216" s="177">
        <f t="shared" si="402"/>
        <v>0</v>
      </c>
      <c r="CR216" s="177">
        <f t="shared" si="403"/>
        <v>0</v>
      </c>
    </row>
    <row r="217" spans="1:96" ht="37.5" x14ac:dyDescent="0.3">
      <c r="B217" s="52" t="s">
        <v>115</v>
      </c>
      <c r="C217" s="53" t="s">
        <v>116</v>
      </c>
      <c r="D217" s="23" t="s">
        <v>129</v>
      </c>
      <c r="E217" s="23"/>
      <c r="F217" s="23"/>
      <c r="G217" s="24"/>
      <c r="H217" s="24"/>
      <c r="I217" s="25" t="s">
        <v>131</v>
      </c>
      <c r="J217" s="23">
        <v>0</v>
      </c>
      <c r="K217" s="23">
        <v>0</v>
      </c>
      <c r="L217" s="23">
        <f t="shared" si="335"/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  <c r="W217" s="23">
        <f t="shared" si="344"/>
        <v>0</v>
      </c>
      <c r="X217" s="23">
        <v>0</v>
      </c>
      <c r="Y217" s="23">
        <f t="shared" ref="Y217" si="407">W217</f>
        <v>0</v>
      </c>
      <c r="Z217" s="23">
        <v>0</v>
      </c>
      <c r="AA217" s="23">
        <f t="shared" si="346"/>
        <v>0</v>
      </c>
      <c r="AB217" s="23">
        <v>0</v>
      </c>
      <c r="AC217" s="23">
        <v>0</v>
      </c>
      <c r="AD217" s="23">
        <v>0</v>
      </c>
      <c r="AE217" s="23">
        <v>0</v>
      </c>
      <c r="AF217" s="23">
        <v>0</v>
      </c>
      <c r="AG217" s="23">
        <v>0</v>
      </c>
      <c r="AH217" s="23">
        <v>0</v>
      </c>
      <c r="AI217" s="23">
        <v>0</v>
      </c>
      <c r="AJ217" s="23">
        <v>0</v>
      </c>
      <c r="AK217" s="23">
        <v>0</v>
      </c>
      <c r="AL217" s="23">
        <v>0</v>
      </c>
      <c r="AM217" s="23">
        <v>0</v>
      </c>
      <c r="AN217" s="23">
        <f t="shared" si="392"/>
        <v>0</v>
      </c>
      <c r="AO217" s="23">
        <f t="shared" si="392"/>
        <v>0</v>
      </c>
      <c r="AP217" s="97" t="s">
        <v>131</v>
      </c>
      <c r="AQ217" s="86"/>
      <c r="AR217" s="85">
        <f t="shared" si="272"/>
        <v>0</v>
      </c>
      <c r="AS217" s="85">
        <f t="shared" si="273"/>
        <v>0</v>
      </c>
      <c r="AT217" s="113"/>
      <c r="AV217" s="105">
        <f t="shared" si="309"/>
        <v>0</v>
      </c>
      <c r="AX217" s="31"/>
      <c r="AY217" s="15"/>
      <c r="AZ217" s="118">
        <v>0</v>
      </c>
      <c r="BA217" s="118">
        <v>0</v>
      </c>
      <c r="BB217" s="118">
        <v>0</v>
      </c>
      <c r="BC217" s="118">
        <v>0</v>
      </c>
      <c r="BD217" s="8"/>
      <c r="BE217" s="118">
        <f t="shared" si="265"/>
        <v>0</v>
      </c>
      <c r="BF217" s="118">
        <f t="shared" si="266"/>
        <v>0</v>
      </c>
      <c r="BG217" s="118">
        <f t="shared" si="267"/>
        <v>0</v>
      </c>
      <c r="BH217" s="118">
        <f t="shared" si="268"/>
        <v>0</v>
      </c>
      <c r="BI217" s="122">
        <f t="shared" si="269"/>
        <v>0</v>
      </c>
      <c r="BJ217" s="123"/>
      <c r="BK217" s="108"/>
      <c r="BM217" s="128">
        <f t="shared" si="400"/>
        <v>0</v>
      </c>
      <c r="BN217" s="129">
        <f t="shared" si="352"/>
        <v>0</v>
      </c>
      <c r="CB217" s="75">
        <f t="shared" si="401"/>
        <v>0</v>
      </c>
      <c r="CJ217" s="70">
        <f t="shared" si="270"/>
        <v>0</v>
      </c>
      <c r="CL217" s="163"/>
      <c r="CM217" s="68"/>
      <c r="CN217" s="23">
        <v>0</v>
      </c>
      <c r="CQ217" s="177">
        <f t="shared" si="402"/>
        <v>0</v>
      </c>
      <c r="CR217" s="177">
        <f t="shared" si="403"/>
        <v>0</v>
      </c>
    </row>
    <row r="218" spans="1:96" ht="20.25" x14ac:dyDescent="0.3">
      <c r="B218" s="52" t="s">
        <v>117</v>
      </c>
      <c r="C218" s="53" t="s">
        <v>118</v>
      </c>
      <c r="D218" s="23" t="s">
        <v>129</v>
      </c>
      <c r="E218" s="23"/>
      <c r="F218" s="23"/>
      <c r="G218" s="24"/>
      <c r="H218" s="24"/>
      <c r="I218" s="25" t="s">
        <v>131</v>
      </c>
      <c r="J218" s="23">
        <f>SUM(J219:J263)</f>
        <v>1058.3502585194981</v>
      </c>
      <c r="K218" s="23">
        <f>SUM(K219:K263)</f>
        <v>0</v>
      </c>
      <c r="L218" s="23">
        <f>M218+N218+O218+P218</f>
        <v>2698.154680737051</v>
      </c>
      <c r="M218" s="23">
        <f t="shared" ref="M218:AM218" si="408">SUM(M219:M263)</f>
        <v>65.533924027874633</v>
      </c>
      <c r="N218" s="23">
        <f t="shared" si="408"/>
        <v>226.52403833407323</v>
      </c>
      <c r="O218" s="23">
        <f t="shared" si="408"/>
        <v>1078.4831702827712</v>
      </c>
      <c r="P218" s="23">
        <f t="shared" si="408"/>
        <v>1327.6135480923319</v>
      </c>
      <c r="Q218" s="23">
        <f t="shared" si="408"/>
        <v>5760.7855573694978</v>
      </c>
      <c r="R218" s="23">
        <f t="shared" si="408"/>
        <v>113.75105538252949</v>
      </c>
      <c r="S218" s="23">
        <f t="shared" si="408"/>
        <v>616.00909187561967</v>
      </c>
      <c r="T218" s="23">
        <f t="shared" si="408"/>
        <v>1003.0795116975841</v>
      </c>
      <c r="U218" s="23">
        <f t="shared" si="408"/>
        <v>4027.9458984137659</v>
      </c>
      <c r="V218" s="23">
        <f t="shared" si="408"/>
        <v>0</v>
      </c>
      <c r="W218" s="23">
        <f t="shared" si="408"/>
        <v>2698.154680737051</v>
      </c>
      <c r="X218" s="23">
        <f t="shared" si="408"/>
        <v>0</v>
      </c>
      <c r="Y218" s="23">
        <f t="shared" si="408"/>
        <v>1211.5795597370509</v>
      </c>
      <c r="Z218" s="23">
        <f t="shared" si="408"/>
        <v>0</v>
      </c>
      <c r="AA218" s="23">
        <f t="shared" si="408"/>
        <v>3818.7293973694982</v>
      </c>
      <c r="AB218" s="23">
        <f t="shared" si="408"/>
        <v>0</v>
      </c>
      <c r="AC218" s="23">
        <f t="shared" si="408"/>
        <v>0</v>
      </c>
      <c r="AD218" s="23">
        <f t="shared" si="408"/>
        <v>365.76</v>
      </c>
      <c r="AE218" s="23">
        <f t="shared" si="408"/>
        <v>838.39069999999992</v>
      </c>
      <c r="AF218" s="23">
        <f t="shared" si="408"/>
        <v>1120.8151209999999</v>
      </c>
      <c r="AG218" s="23">
        <f t="shared" si="408"/>
        <v>1103.6654599999999</v>
      </c>
      <c r="AH218" s="23">
        <f t="shared" si="408"/>
        <v>260.53367270258002</v>
      </c>
      <c r="AI218" s="23">
        <f t="shared" si="408"/>
        <v>2481.9239885194979</v>
      </c>
      <c r="AJ218" s="23">
        <f t="shared" si="408"/>
        <v>242.69009739615512</v>
      </c>
      <c r="AK218" s="23">
        <f t="shared" si="408"/>
        <v>685.02644884999995</v>
      </c>
      <c r="AL218" s="23">
        <f t="shared" si="408"/>
        <v>235.72457973831595</v>
      </c>
      <c r="AM218" s="23">
        <f t="shared" si="408"/>
        <v>651.77895999999998</v>
      </c>
      <c r="AN218" s="23">
        <f t="shared" si="392"/>
        <v>2225.5234708370513</v>
      </c>
      <c r="AO218" s="23">
        <f t="shared" si="392"/>
        <v>5760.7855573694969</v>
      </c>
      <c r="AP218" s="97" t="s">
        <v>131</v>
      </c>
      <c r="AQ218" s="86"/>
      <c r="AR218" s="85">
        <f t="shared" si="272"/>
        <v>472.6312098999997</v>
      </c>
      <c r="AS218" s="85">
        <f t="shared" si="273"/>
        <v>0</v>
      </c>
      <c r="AT218" s="113"/>
      <c r="AV218" s="105">
        <f t="shared" si="309"/>
        <v>0</v>
      </c>
      <c r="AX218" s="31"/>
      <c r="AY218" s="15"/>
      <c r="AZ218" s="118">
        <v>1103.6654599999999</v>
      </c>
      <c r="BA218" s="118">
        <v>836.50948635664122</v>
      </c>
      <c r="BB218" s="118">
        <v>638.54513999999995</v>
      </c>
      <c r="BC218" s="118">
        <v>609.84743529411764</v>
      </c>
      <c r="BD218" s="8"/>
      <c r="BE218" s="118">
        <f t="shared" ref="BE218:BE263" si="409">AG218-AZ218</f>
        <v>0</v>
      </c>
      <c r="BF218" s="118">
        <f t="shared" ref="BF218:BF263" si="410">AI218-BA218</f>
        <v>1645.4145021628567</v>
      </c>
      <c r="BG218" s="118">
        <f t="shared" ref="BG218:BG263" si="411">AK218-BB218</f>
        <v>46.481308850000005</v>
      </c>
      <c r="BH218" s="118">
        <f t="shared" ref="BH218:BH263" si="412">AM218-BC218</f>
        <v>41.931524705882339</v>
      </c>
      <c r="BI218" s="122">
        <f t="shared" ref="BI218:BI263" si="413">BE218+BF218+BG218+BH218</f>
        <v>1733.8273357187391</v>
      </c>
      <c r="BJ218" s="123"/>
      <c r="BK218" s="108"/>
      <c r="BM218" s="128">
        <f t="shared" si="400"/>
        <v>5760.7855573694969</v>
      </c>
      <c r="BN218" s="129">
        <f t="shared" si="352"/>
        <v>0</v>
      </c>
      <c r="CB218" s="75">
        <f t="shared" si="401"/>
        <v>5840.3433771757891</v>
      </c>
      <c r="CJ218" s="70">
        <f t="shared" si="270"/>
        <v>0</v>
      </c>
      <c r="CL218" s="163"/>
      <c r="CM218" s="68"/>
      <c r="CN218" s="23">
        <f t="shared" ref="CN218" si="414">SUM(CN219:CN263)</f>
        <v>365.80000000000007</v>
      </c>
      <c r="CQ218" s="177">
        <f t="shared" si="402"/>
        <v>2681.004509837051</v>
      </c>
      <c r="CR218" s="177">
        <f t="shared" si="403"/>
        <v>455.48103899999978</v>
      </c>
    </row>
    <row r="219" spans="1:96" s="8" customFormat="1" ht="75" customHeight="1" x14ac:dyDescent="0.3">
      <c r="A219" s="44"/>
      <c r="B219" s="51" t="s">
        <v>117</v>
      </c>
      <c r="C219" s="76" t="s">
        <v>411</v>
      </c>
      <c r="D219" s="28" t="s">
        <v>320</v>
      </c>
      <c r="E219" s="21" t="s">
        <v>487</v>
      </c>
      <c r="F219" s="21">
        <f t="shared" ref="F219:F263" si="415">IF(K219&gt;0,2018,IF(AC219&gt;0,2019,IF(AE219&gt;0,2020,IF(AG219&gt;0,2021,IF(AI219&gt;0,2022,IF(AK219&gt;0,2023,IF(AM219&gt;0,2024,"нд")))))))</f>
        <v>2020</v>
      </c>
      <c r="G219" s="46" t="str">
        <f t="shared" ref="G219:G263" si="416">IF(AND(L219-(K219+AB219+AD219+AF219+AH219+AJ219+AL219)&lt;0.1,L219-(K219+AB219+AD219+AF219+AH219+AJ219+AL219)&gt;0.00001),"Ошибка в -",IF((K219+AB219+AD219+AF219+AH219+AJ219+AL219)&gt;L219,"Ошибка в +",IF(L219&gt;(K219+AB219+AD219+AF219+AH219+AJ219+AL219),2025,IF(AL219&gt;0,2024,IF(AJ219&gt;0,2023,IF(AH219&gt;0,2022,IF(AF219&gt;0,2021,IF(AD219&gt;0,2020,IF(AB219&gt;0,2019,IF(K219&gt;0,2018,"нд"))))))))))</f>
        <v>Ошибка в +</v>
      </c>
      <c r="H219" s="46">
        <f t="shared" ref="H219:H263" si="417">IF(AND((Q219-(K219+AC219+AE219+AG219+AI219+AK219+AM219))&lt;0.1,Q219-(K219+AC219+AE219+AG219+AI219+AK219+AM219)&gt;0.0001),"Ошибка в -",IF((K219+AC219+AE219+AG219+AI219+AK219+AM219)&gt;Q219,"Ошибка в +",IF(Q219&gt;(K219+AC219+AE219+AG219+AI219+AK219+AM219),2025,IF(AM219&gt;0,2024,IF(AK219&gt;0,2023,IF(AI219&gt;0,2022,IF(AG219&gt;0,2021,IF(AE219&gt;0,2020,IF(AC219&gt;0,2019,IF(K219&gt;0,2018,"нд"))))))))))</f>
        <v>2020</v>
      </c>
      <c r="I219" s="22" t="s">
        <v>131</v>
      </c>
      <c r="J219" s="20">
        <f t="shared" ref="J219:J222" si="418">Q219</f>
        <v>8.3299999999999999E-2</v>
      </c>
      <c r="K219" s="20">
        <v>0</v>
      </c>
      <c r="L219" s="20">
        <f t="shared" si="335"/>
        <v>1.855249313424528</v>
      </c>
      <c r="M219" s="20">
        <v>0.16711542466781634</v>
      </c>
      <c r="N219" s="20">
        <v>1.6139596628346327</v>
      </c>
      <c r="O219" s="20">
        <v>0</v>
      </c>
      <c r="P219" s="20">
        <v>7.417422592207891E-2</v>
      </c>
      <c r="Q219" s="20">
        <v>8.3299999999999999E-2</v>
      </c>
      <c r="R219" s="20">
        <f t="shared" ref="R219:R225" si="419">M219/L219*Q219</f>
        <v>7.5034200385356454E-3</v>
      </c>
      <c r="S219" s="20">
        <f t="shared" ref="S219:S225" si="420">N219/L219*Q219</f>
        <v>7.246618497109826E-2</v>
      </c>
      <c r="T219" s="20">
        <f t="shared" ref="T219:T225" si="421">O219/L219*Q219</f>
        <v>0</v>
      </c>
      <c r="U219" s="20">
        <f t="shared" ref="U219:U225" si="422">P219/L219*Q219</f>
        <v>3.3303949903660882E-3</v>
      </c>
      <c r="V219" s="20">
        <v>0</v>
      </c>
      <c r="W219" s="20">
        <f t="shared" si="344"/>
        <v>1.855249313424528</v>
      </c>
      <c r="X219" s="20"/>
      <c r="Y219" s="20">
        <f t="shared" ref="Y219:Y263" si="423">W219-(AB219+AD219+AF219)</f>
        <v>0.85524931342452803</v>
      </c>
      <c r="Z219" s="28"/>
      <c r="AA219" s="20">
        <f t="shared" ref="AA219:AA263" si="424">Q219-(K219+AC219+AE219+AG219)</f>
        <v>0</v>
      </c>
      <c r="AB219" s="20">
        <v>0</v>
      </c>
      <c r="AC219" s="20">
        <v>0</v>
      </c>
      <c r="AD219" s="174">
        <v>1</v>
      </c>
      <c r="AE219" s="20">
        <v>8.3299999999999999E-2</v>
      </c>
      <c r="AF219" s="20"/>
      <c r="AG219" s="20"/>
      <c r="AH219" s="20"/>
      <c r="AI219" s="20"/>
      <c r="AJ219" s="20">
        <v>1.7719493134245279</v>
      </c>
      <c r="AK219" s="20"/>
      <c r="AL219" s="20"/>
      <c r="AM219" s="20"/>
      <c r="AN219" s="20">
        <f t="shared" si="392"/>
        <v>2.7719493134245279</v>
      </c>
      <c r="AO219" s="20">
        <f t="shared" si="392"/>
        <v>8.3299999999999999E-2</v>
      </c>
      <c r="AP219" s="94" t="s">
        <v>548</v>
      </c>
      <c r="AQ219" s="86"/>
      <c r="AR219" s="85">
        <f t="shared" si="272"/>
        <v>-0.91669999999999985</v>
      </c>
      <c r="AS219" s="85">
        <f t="shared" si="273"/>
        <v>0</v>
      </c>
      <c r="AT219" s="113">
        <f t="shared" si="310"/>
        <v>-1.7719493134245281</v>
      </c>
      <c r="AV219" s="105">
        <f t="shared" si="309"/>
        <v>0</v>
      </c>
      <c r="AX219" s="31">
        <f t="shared" ref="AX219:AX222" si="425">J219-Q219</f>
        <v>0</v>
      </c>
      <c r="AY219" s="15"/>
      <c r="AZ219" s="118"/>
      <c r="BA219" s="118"/>
      <c r="BB219" s="118"/>
      <c r="BC219" s="118"/>
      <c r="BE219" s="118">
        <f t="shared" si="409"/>
        <v>0</v>
      </c>
      <c r="BF219" s="118">
        <f t="shared" si="410"/>
        <v>0</v>
      </c>
      <c r="BG219" s="118">
        <f t="shared" si="411"/>
        <v>0</v>
      </c>
      <c r="BH219" s="118">
        <f t="shared" si="412"/>
        <v>0</v>
      </c>
      <c r="BI219" s="122">
        <f t="shared" si="413"/>
        <v>0</v>
      </c>
      <c r="BJ219" s="118">
        <f t="shared" ref="BJ219:BJ263" si="426">(AO219+AC219+K219)-Q219</f>
        <v>0</v>
      </c>
      <c r="BK219" s="44">
        <v>2020</v>
      </c>
      <c r="BL219" s="8" t="b">
        <f t="shared" ref="BL219:BL263" si="427">EXACT(BK219,H219)</f>
        <v>1</v>
      </c>
      <c r="BM219" s="128">
        <f t="shared" si="400"/>
        <v>8.3299999999999999E-2</v>
      </c>
      <c r="BN219" s="129">
        <f t="shared" si="352"/>
        <v>0</v>
      </c>
      <c r="BR219" s="73">
        <f t="shared" ref="BR219:BR263" si="428">K219/$BR$15</f>
        <v>0</v>
      </c>
      <c r="BS219" s="73">
        <f t="shared" ref="BS219:BS263" si="429">AC219/$BS$15</f>
        <v>0</v>
      </c>
      <c r="BT219" s="73">
        <f t="shared" ref="BT219:BT225" si="430">AE219/$BT$15</f>
        <v>7.6021879858991614E-2</v>
      </c>
      <c r="BU219" s="73">
        <f t="shared" ref="BU219:BU225" si="431">AG219/$BU$15</f>
        <v>0</v>
      </c>
      <c r="BV219" s="73">
        <f t="shared" ref="BV219:BV225" si="432">AI219/$BV$15</f>
        <v>0</v>
      </c>
      <c r="BW219" s="73">
        <f t="shared" ref="BW219:BW225" si="433">AK219/$BW$15</f>
        <v>0</v>
      </c>
      <c r="BX219" s="73">
        <f t="shared" ref="BX219:BX225" si="434">AM219/$BX$15</f>
        <v>0</v>
      </c>
      <c r="BY219" s="73">
        <f t="shared" ref="BY219:BY225" si="435">(Q219-K219-AC219-AE219-AG219-AI219-AK219-AM219)/$BY$15</f>
        <v>0</v>
      </c>
      <c r="BZ219" s="74">
        <f t="shared" ref="BZ219:BZ225" si="436">SUM(BR219:BY219)*1.2</f>
        <v>9.1226255830789929E-2</v>
      </c>
      <c r="CB219" s="75">
        <f t="shared" si="401"/>
        <v>9.1226255830789929E-2</v>
      </c>
      <c r="CJ219" s="70">
        <f t="shared" ref="CJ219:CJ263" si="437">Q219-R219-S219-T219-U219</f>
        <v>6.9388939039072284E-18</v>
      </c>
      <c r="CK219" s="166"/>
      <c r="CL219" s="163"/>
      <c r="CM219" s="68"/>
      <c r="CN219" s="20">
        <v>1.0209999999999999</v>
      </c>
      <c r="CQ219" s="177">
        <f t="shared" si="402"/>
        <v>1.8552493134245278</v>
      </c>
      <c r="CR219" s="177">
        <f t="shared" si="403"/>
        <v>-0.91670000000000007</v>
      </c>
    </row>
    <row r="220" spans="1:96" s="8" customFormat="1" ht="56.25" x14ac:dyDescent="0.3">
      <c r="A220" s="44"/>
      <c r="B220" s="51" t="s">
        <v>117</v>
      </c>
      <c r="C220" s="76" t="s">
        <v>412</v>
      </c>
      <c r="D220" s="28" t="s">
        <v>321</v>
      </c>
      <c r="E220" s="21" t="s">
        <v>487</v>
      </c>
      <c r="F220" s="21">
        <f t="shared" si="415"/>
        <v>2020</v>
      </c>
      <c r="G220" s="46" t="str">
        <f t="shared" si="416"/>
        <v>Ошибка в +</v>
      </c>
      <c r="H220" s="46">
        <f t="shared" si="417"/>
        <v>2020</v>
      </c>
      <c r="I220" s="22" t="s">
        <v>131</v>
      </c>
      <c r="J220" s="20">
        <f t="shared" si="418"/>
        <v>1.7307000000000001</v>
      </c>
      <c r="K220" s="20">
        <v>0</v>
      </c>
      <c r="L220" s="20">
        <f t="shared" si="335"/>
        <v>1.7307000000000003</v>
      </c>
      <c r="M220" s="20">
        <v>0.12151723404255321</v>
      </c>
      <c r="N220" s="20">
        <v>1.4885861170212769</v>
      </c>
      <c r="O220" s="20">
        <v>0.11967606382978725</v>
      </c>
      <c r="P220" s="20">
        <v>9.2058510638297884E-4</v>
      </c>
      <c r="Q220" s="20">
        <v>1.7307000000000001</v>
      </c>
      <c r="R220" s="20">
        <f t="shared" si="419"/>
        <v>0.12151723404255321</v>
      </c>
      <c r="S220" s="20">
        <f t="shared" si="420"/>
        <v>1.4885861170212766</v>
      </c>
      <c r="T220" s="20">
        <f t="shared" si="421"/>
        <v>0.11967606382978725</v>
      </c>
      <c r="U220" s="20">
        <f t="shared" si="422"/>
        <v>9.2058510638297884E-4</v>
      </c>
      <c r="V220" s="20">
        <v>0</v>
      </c>
      <c r="W220" s="20">
        <f t="shared" si="344"/>
        <v>1.7307000000000003</v>
      </c>
      <c r="X220" s="20"/>
      <c r="Y220" s="20">
        <f t="shared" si="423"/>
        <v>-0.16929999999999956</v>
      </c>
      <c r="Z220" s="28"/>
      <c r="AA220" s="20">
        <f t="shared" si="424"/>
        <v>0</v>
      </c>
      <c r="AB220" s="20">
        <v>0</v>
      </c>
      <c r="AC220" s="20">
        <v>0</v>
      </c>
      <c r="AD220" s="174">
        <v>1.9</v>
      </c>
      <c r="AE220" s="20">
        <v>1.7307000000000001</v>
      </c>
      <c r="AF220" s="20"/>
      <c r="AG220" s="20"/>
      <c r="AH220" s="20"/>
      <c r="AI220" s="20"/>
      <c r="AJ220" s="20"/>
      <c r="AK220" s="20"/>
      <c r="AL220" s="20">
        <v>0</v>
      </c>
      <c r="AM220" s="20"/>
      <c r="AN220" s="20">
        <f t="shared" si="392"/>
        <v>1.9</v>
      </c>
      <c r="AO220" s="20">
        <f t="shared" si="392"/>
        <v>1.7307000000000001</v>
      </c>
      <c r="AP220" s="94"/>
      <c r="AQ220" s="86"/>
      <c r="AR220" s="85">
        <f t="shared" ref="AR220:AR263" si="438">L220-(K220+AB220+AD220+AF220+AH220+AJ220+AL220)</f>
        <v>-0.16929999999999956</v>
      </c>
      <c r="AS220" s="85">
        <f t="shared" ref="AS220:AS263" si="439">Q220-(K220+AC220+AE220+AG220+AI220+AK220+AM220)</f>
        <v>0</v>
      </c>
      <c r="AT220" s="113">
        <f t="shared" si="310"/>
        <v>0</v>
      </c>
      <c r="AV220" s="105">
        <f t="shared" si="309"/>
        <v>0</v>
      </c>
      <c r="AX220" s="31">
        <f t="shared" si="425"/>
        <v>0</v>
      </c>
      <c r="AY220" s="15"/>
      <c r="AZ220" s="118"/>
      <c r="BA220" s="118"/>
      <c r="BB220" s="118"/>
      <c r="BC220" s="118"/>
      <c r="BE220" s="118">
        <f t="shared" si="409"/>
        <v>0</v>
      </c>
      <c r="BF220" s="118">
        <f t="shared" si="410"/>
        <v>0</v>
      </c>
      <c r="BG220" s="118">
        <f t="shared" si="411"/>
        <v>0</v>
      </c>
      <c r="BH220" s="118">
        <f t="shared" si="412"/>
        <v>0</v>
      </c>
      <c r="BI220" s="122">
        <f t="shared" si="413"/>
        <v>0</v>
      </c>
      <c r="BJ220" s="118">
        <f t="shared" si="426"/>
        <v>0</v>
      </c>
      <c r="BK220" s="44">
        <v>2020</v>
      </c>
      <c r="BL220" s="8" t="b">
        <f t="shared" si="427"/>
        <v>1</v>
      </c>
      <c r="BM220" s="128">
        <f t="shared" si="400"/>
        <v>1.7307000000000001</v>
      </c>
      <c r="BN220" s="129">
        <f t="shared" si="352"/>
        <v>0</v>
      </c>
      <c r="BR220" s="73">
        <f t="shared" si="428"/>
        <v>0</v>
      </c>
      <c r="BS220" s="73">
        <f t="shared" si="429"/>
        <v>0</v>
      </c>
      <c r="BT220" s="73">
        <f t="shared" si="430"/>
        <v>1.5794846035048835</v>
      </c>
      <c r="BU220" s="73">
        <f t="shared" si="431"/>
        <v>0</v>
      </c>
      <c r="BV220" s="73">
        <f t="shared" si="432"/>
        <v>0</v>
      </c>
      <c r="BW220" s="73">
        <f t="shared" si="433"/>
        <v>0</v>
      </c>
      <c r="BX220" s="73">
        <f t="shared" si="434"/>
        <v>0</v>
      </c>
      <c r="BY220" s="73">
        <f t="shared" si="435"/>
        <v>0</v>
      </c>
      <c r="BZ220" s="74">
        <f t="shared" si="436"/>
        <v>1.89538152420586</v>
      </c>
      <c r="CB220" s="75">
        <f t="shared" si="401"/>
        <v>1.89538152420586</v>
      </c>
      <c r="CJ220" s="70">
        <f t="shared" si="437"/>
        <v>5.0090140368830305E-17</v>
      </c>
      <c r="CK220" s="166"/>
      <c r="CL220" s="163"/>
      <c r="CM220" s="68"/>
      <c r="CN220" s="20">
        <v>1.88</v>
      </c>
      <c r="CQ220" s="177">
        <f t="shared" si="402"/>
        <v>1.7307000000000001</v>
      </c>
      <c r="CR220" s="177">
        <f t="shared" si="403"/>
        <v>-0.16929999999999978</v>
      </c>
    </row>
    <row r="221" spans="1:96" s="8" customFormat="1" ht="56.25" x14ac:dyDescent="0.3">
      <c r="A221" s="44"/>
      <c r="B221" s="51" t="s">
        <v>117</v>
      </c>
      <c r="C221" s="76" t="s">
        <v>413</v>
      </c>
      <c r="D221" s="28" t="s">
        <v>322</v>
      </c>
      <c r="E221" s="21" t="s">
        <v>487</v>
      </c>
      <c r="F221" s="21">
        <f t="shared" si="415"/>
        <v>2020</v>
      </c>
      <c r="G221" s="46">
        <f t="shared" si="416"/>
        <v>2025</v>
      </c>
      <c r="H221" s="46">
        <f t="shared" si="417"/>
        <v>2020</v>
      </c>
      <c r="I221" s="22" t="s">
        <v>131</v>
      </c>
      <c r="J221" s="20">
        <f t="shared" si="418"/>
        <v>0.13350000000000001</v>
      </c>
      <c r="K221" s="20">
        <v>0</v>
      </c>
      <c r="L221" s="20">
        <f t="shared" si="335"/>
        <v>0.87120725501756613</v>
      </c>
      <c r="M221" s="20">
        <v>5.9064898645258712E-2</v>
      </c>
      <c r="N221" s="20">
        <v>0.84167480569493669</v>
      </c>
      <c r="O221" s="20">
        <v>0</v>
      </c>
      <c r="P221" s="20">
        <v>-2.9532449322629356E-2</v>
      </c>
      <c r="Q221" s="20">
        <v>0.13350000000000001</v>
      </c>
      <c r="R221" s="20">
        <f t="shared" si="419"/>
        <v>9.0508474576271175E-3</v>
      </c>
      <c r="S221" s="20">
        <f t="shared" si="420"/>
        <v>0.12897457627118644</v>
      </c>
      <c r="T221" s="20">
        <f t="shared" si="421"/>
        <v>0</v>
      </c>
      <c r="U221" s="20">
        <f t="shared" si="422"/>
        <v>-4.5254237288135588E-3</v>
      </c>
      <c r="V221" s="20">
        <v>0</v>
      </c>
      <c r="W221" s="20">
        <f t="shared" si="344"/>
        <v>0.87120725501756613</v>
      </c>
      <c r="X221" s="20"/>
      <c r="Y221" s="20">
        <f t="shared" si="423"/>
        <v>0.87120725501756613</v>
      </c>
      <c r="Z221" s="28"/>
      <c r="AA221" s="20">
        <f t="shared" si="424"/>
        <v>0</v>
      </c>
      <c r="AB221" s="20">
        <v>0</v>
      </c>
      <c r="AC221" s="20">
        <v>0</v>
      </c>
      <c r="AD221" s="174">
        <v>0</v>
      </c>
      <c r="AE221" s="20">
        <v>0.13350000000000001</v>
      </c>
      <c r="AF221" s="20"/>
      <c r="AG221" s="20"/>
      <c r="AH221" s="20">
        <v>0.31970698057868213</v>
      </c>
      <c r="AI221" s="20"/>
      <c r="AJ221" s="20">
        <v>2.6244651490423654E-2</v>
      </c>
      <c r="AK221" s="20"/>
      <c r="AL221" s="20">
        <v>0.39175562294846028</v>
      </c>
      <c r="AM221" s="20"/>
      <c r="AN221" s="20">
        <f t="shared" si="392"/>
        <v>0.73770725501756607</v>
      </c>
      <c r="AO221" s="20">
        <f t="shared" si="392"/>
        <v>0.13350000000000001</v>
      </c>
      <c r="AP221" s="94" t="s">
        <v>548</v>
      </c>
      <c r="AQ221" s="86"/>
      <c r="AR221" s="85">
        <f t="shared" si="438"/>
        <v>0.13350000000000006</v>
      </c>
      <c r="AS221" s="85">
        <f t="shared" si="439"/>
        <v>0</v>
      </c>
      <c r="AT221" s="113">
        <f t="shared" si="310"/>
        <v>-0.73770725501756607</v>
      </c>
      <c r="AV221" s="105">
        <f t="shared" si="309"/>
        <v>0</v>
      </c>
      <c r="AX221" s="31">
        <f t="shared" si="425"/>
        <v>0</v>
      </c>
      <c r="AY221" s="166"/>
      <c r="AZ221" s="118"/>
      <c r="BA221" s="118"/>
      <c r="BB221" s="118"/>
      <c r="BC221" s="118"/>
      <c r="BE221" s="118">
        <f t="shared" si="409"/>
        <v>0</v>
      </c>
      <c r="BF221" s="118">
        <f t="shared" si="410"/>
        <v>0</v>
      </c>
      <c r="BG221" s="118">
        <f t="shared" si="411"/>
        <v>0</v>
      </c>
      <c r="BH221" s="118">
        <f t="shared" si="412"/>
        <v>0</v>
      </c>
      <c r="BI221" s="122">
        <f t="shared" si="413"/>
        <v>0</v>
      </c>
      <c r="BJ221" s="118">
        <f t="shared" si="426"/>
        <v>0</v>
      </c>
      <c r="BK221" s="44">
        <v>2020</v>
      </c>
      <c r="BL221" s="8" t="b">
        <f t="shared" si="427"/>
        <v>1</v>
      </c>
      <c r="BM221" s="128">
        <f t="shared" si="400"/>
        <v>0.13350000000000001</v>
      </c>
      <c r="BN221" s="129">
        <f t="shared" si="352"/>
        <v>0</v>
      </c>
      <c r="BR221" s="73">
        <f t="shared" si="428"/>
        <v>0</v>
      </c>
      <c r="BS221" s="73">
        <f t="shared" si="429"/>
        <v>0</v>
      </c>
      <c r="BT221" s="73">
        <f t="shared" si="430"/>
        <v>0.12183578584844394</v>
      </c>
      <c r="BU221" s="73">
        <f t="shared" si="431"/>
        <v>0</v>
      </c>
      <c r="BV221" s="73">
        <f t="shared" si="432"/>
        <v>0</v>
      </c>
      <c r="BW221" s="73">
        <f t="shared" si="433"/>
        <v>0</v>
      </c>
      <c r="BX221" s="73">
        <f t="shared" si="434"/>
        <v>0</v>
      </c>
      <c r="BY221" s="73">
        <f t="shared" si="435"/>
        <v>0</v>
      </c>
      <c r="BZ221" s="74">
        <f t="shared" si="436"/>
        <v>0.14620294301813272</v>
      </c>
      <c r="CB221" s="75">
        <f t="shared" si="401"/>
        <v>0.14620294301813272</v>
      </c>
      <c r="CJ221" s="70">
        <f t="shared" si="437"/>
        <v>6.9388939039072284E-18</v>
      </c>
      <c r="CK221" s="166"/>
      <c r="CL221" s="163"/>
      <c r="CM221" s="68"/>
      <c r="CN221" s="20"/>
      <c r="CQ221" s="177">
        <f t="shared" si="402"/>
        <v>0.87120725501756602</v>
      </c>
      <c r="CR221" s="177">
        <f t="shared" si="403"/>
        <v>0.13349999999999995</v>
      </c>
    </row>
    <row r="222" spans="1:96" s="8" customFormat="1" ht="93.75" x14ac:dyDescent="0.3">
      <c r="A222" s="44"/>
      <c r="B222" s="51" t="s">
        <v>117</v>
      </c>
      <c r="C222" s="76" t="s">
        <v>580</v>
      </c>
      <c r="D222" s="28" t="s">
        <v>323</v>
      </c>
      <c r="E222" s="21" t="s">
        <v>487</v>
      </c>
      <c r="F222" s="21">
        <f t="shared" si="415"/>
        <v>2020</v>
      </c>
      <c r="G222" s="46" t="str">
        <f t="shared" si="416"/>
        <v>Ошибка в +</v>
      </c>
      <c r="H222" s="46">
        <f t="shared" si="417"/>
        <v>2021</v>
      </c>
      <c r="I222" s="22" t="s">
        <v>131</v>
      </c>
      <c r="J222" s="20">
        <f t="shared" si="418"/>
        <v>8.6341000000000001</v>
      </c>
      <c r="K222" s="20">
        <v>0</v>
      </c>
      <c r="L222" s="20">
        <f t="shared" si="335"/>
        <v>13.376934960817323</v>
      </c>
      <c r="M222" s="20">
        <v>0.53120002598028215</v>
      </c>
      <c r="N222" s="20">
        <v>8.6581726862333568</v>
      </c>
      <c r="O222" s="20">
        <v>3.4624936000028605</v>
      </c>
      <c r="P222" s="20">
        <v>0.72506864860082298</v>
      </c>
      <c r="Q222" s="20">
        <v>8.6341000000000001</v>
      </c>
      <c r="R222" s="20">
        <f t="shared" si="419"/>
        <v>0.34286136231884062</v>
      </c>
      <c r="S222" s="20">
        <f t="shared" si="420"/>
        <v>5.5883899420289849</v>
      </c>
      <c r="T222" s="20">
        <f t="shared" si="421"/>
        <v>2.2348554492753623</v>
      </c>
      <c r="U222" s="20">
        <f t="shared" si="422"/>
        <v>0.46799324637681161</v>
      </c>
      <c r="V222" s="20">
        <v>0</v>
      </c>
      <c r="W222" s="20">
        <f t="shared" si="344"/>
        <v>13.376934960817323</v>
      </c>
      <c r="X222" s="20"/>
      <c r="Y222" s="20">
        <f t="shared" si="423"/>
        <v>-1.4930650391826781</v>
      </c>
      <c r="Z222" s="28"/>
      <c r="AA222" s="20">
        <f t="shared" si="424"/>
        <v>0</v>
      </c>
      <c r="AB222" s="20">
        <v>0</v>
      </c>
      <c r="AC222" s="20">
        <v>0</v>
      </c>
      <c r="AD222" s="174">
        <v>5.8</v>
      </c>
      <c r="AE222" s="20">
        <v>0.42260000000000003</v>
      </c>
      <c r="AF222" s="20">
        <v>9.07</v>
      </c>
      <c r="AG222" s="20">
        <v>8.2115000000000009</v>
      </c>
      <c r="AH222" s="20">
        <v>3.8843349608173212</v>
      </c>
      <c r="AI222" s="20"/>
      <c r="AJ222" s="20"/>
      <c r="AK222" s="20"/>
      <c r="AL222" s="20">
        <v>0</v>
      </c>
      <c r="AM222" s="20"/>
      <c r="AN222" s="20">
        <f t="shared" si="392"/>
        <v>18.754334960817321</v>
      </c>
      <c r="AO222" s="20">
        <f t="shared" si="392"/>
        <v>8.6341000000000001</v>
      </c>
      <c r="AP222" s="94" t="s">
        <v>548</v>
      </c>
      <c r="AQ222" s="86"/>
      <c r="AR222" s="85">
        <f t="shared" si="438"/>
        <v>-5.377399999999998</v>
      </c>
      <c r="AS222" s="85">
        <f t="shared" si="439"/>
        <v>0</v>
      </c>
      <c r="AT222" s="113">
        <f t="shared" si="310"/>
        <v>-4.7428349608173228</v>
      </c>
      <c r="AV222" s="105">
        <f t="shared" si="309"/>
        <v>0</v>
      </c>
      <c r="AX222" s="31">
        <f t="shared" si="425"/>
        <v>0</v>
      </c>
      <c r="AY222" s="15"/>
      <c r="AZ222" s="118">
        <v>8.2115000000000009</v>
      </c>
      <c r="BA222" s="118"/>
      <c r="BB222" s="118"/>
      <c r="BC222" s="118"/>
      <c r="BE222" s="118">
        <f t="shared" si="409"/>
        <v>0</v>
      </c>
      <c r="BF222" s="118">
        <f t="shared" si="410"/>
        <v>0</v>
      </c>
      <c r="BG222" s="118">
        <f t="shared" si="411"/>
        <v>0</v>
      </c>
      <c r="BH222" s="118">
        <f t="shared" si="412"/>
        <v>0</v>
      </c>
      <c r="BI222" s="122">
        <f t="shared" si="413"/>
        <v>0</v>
      </c>
      <c r="BJ222" s="118">
        <f t="shared" si="426"/>
        <v>0</v>
      </c>
      <c r="BK222" s="44">
        <v>2021</v>
      </c>
      <c r="BL222" s="8" t="b">
        <f t="shared" si="427"/>
        <v>1</v>
      </c>
      <c r="BM222" s="128">
        <f t="shared" si="400"/>
        <v>8.6341000000000001</v>
      </c>
      <c r="BN222" s="129">
        <f t="shared" si="352"/>
        <v>0</v>
      </c>
      <c r="BR222" s="73">
        <f t="shared" si="428"/>
        <v>0</v>
      </c>
      <c r="BS222" s="73">
        <f t="shared" si="429"/>
        <v>0</v>
      </c>
      <c r="BT222" s="73">
        <f t="shared" si="430"/>
        <v>0.38567642771200306</v>
      </c>
      <c r="BU222" s="73">
        <f t="shared" si="431"/>
        <v>7.1893765636425284</v>
      </c>
      <c r="BV222" s="73">
        <f t="shared" si="432"/>
        <v>0</v>
      </c>
      <c r="BW222" s="73">
        <f t="shared" si="433"/>
        <v>0</v>
      </c>
      <c r="BX222" s="73">
        <f t="shared" si="434"/>
        <v>0</v>
      </c>
      <c r="BY222" s="73">
        <f t="shared" si="435"/>
        <v>0</v>
      </c>
      <c r="BZ222" s="74">
        <f t="shared" si="436"/>
        <v>9.0900635896254371</v>
      </c>
      <c r="CB222" s="75">
        <f t="shared" si="401"/>
        <v>9.0900635896254371</v>
      </c>
      <c r="CJ222" s="70">
        <f t="shared" si="437"/>
        <v>5.5511151231257827E-16</v>
      </c>
      <c r="CK222" s="166"/>
      <c r="CL222" s="163"/>
      <c r="CM222" s="68"/>
      <c r="CN222" s="20">
        <v>5.75</v>
      </c>
      <c r="CQ222" s="177">
        <f t="shared" si="402"/>
        <v>12.518434960817322</v>
      </c>
      <c r="CR222" s="177">
        <f t="shared" si="403"/>
        <v>-6.2358999999999991</v>
      </c>
    </row>
    <row r="223" spans="1:96" s="8" customFormat="1" ht="75" x14ac:dyDescent="0.3">
      <c r="A223" s="44"/>
      <c r="B223" s="51" t="s">
        <v>117</v>
      </c>
      <c r="C223" s="76" t="s">
        <v>581</v>
      </c>
      <c r="D223" s="28" t="s">
        <v>324</v>
      </c>
      <c r="E223" s="21" t="s">
        <v>488</v>
      </c>
      <c r="F223" s="21">
        <f t="shared" si="415"/>
        <v>2020</v>
      </c>
      <c r="G223" s="46" t="str">
        <f t="shared" si="416"/>
        <v>Ошибка в +</v>
      </c>
      <c r="H223" s="46">
        <f t="shared" si="417"/>
        <v>2023</v>
      </c>
      <c r="I223" s="22" t="s">
        <v>131</v>
      </c>
      <c r="J223" s="20" t="s">
        <v>131</v>
      </c>
      <c r="K223" s="20">
        <v>0</v>
      </c>
      <c r="L223" s="20">
        <f t="shared" si="335"/>
        <v>0.93930000000000002</v>
      </c>
      <c r="M223" s="20">
        <v>6.5691280653950967E-2</v>
      </c>
      <c r="N223" s="20">
        <v>0.61254986376021792</v>
      </c>
      <c r="O223" s="20">
        <v>0.2286397820163488</v>
      </c>
      <c r="P223" s="20">
        <v>3.2419073569482294E-2</v>
      </c>
      <c r="Q223" s="20">
        <v>6.4919000000000002</v>
      </c>
      <c r="R223" s="20">
        <f t="shared" si="419"/>
        <v>0.45402025431425991</v>
      </c>
      <c r="S223" s="20">
        <f t="shared" si="420"/>
        <v>4.2335914623069932</v>
      </c>
      <c r="T223" s="20">
        <f t="shared" si="421"/>
        <v>1.58022633969119</v>
      </c>
      <c r="U223" s="20">
        <f t="shared" si="422"/>
        <v>0.2240619436875568</v>
      </c>
      <c r="V223" s="20">
        <v>0</v>
      </c>
      <c r="W223" s="20">
        <f t="shared" si="344"/>
        <v>0.93930000000000002</v>
      </c>
      <c r="X223" s="20"/>
      <c r="Y223" s="20">
        <f t="shared" si="423"/>
        <v>-0.19070000000000009</v>
      </c>
      <c r="Z223" s="28"/>
      <c r="AA223" s="20">
        <f t="shared" si="424"/>
        <v>6</v>
      </c>
      <c r="AB223" s="20">
        <v>0</v>
      </c>
      <c r="AC223" s="20">
        <v>0</v>
      </c>
      <c r="AD223" s="174">
        <v>0.2</v>
      </c>
      <c r="AE223" s="20">
        <v>9.300000000000001E-3</v>
      </c>
      <c r="AF223" s="20">
        <v>0.93</v>
      </c>
      <c r="AG223" s="20">
        <v>0.48260000000000003</v>
      </c>
      <c r="AH223" s="20"/>
      <c r="AI223" s="20"/>
      <c r="AJ223" s="20"/>
      <c r="AK223" s="20">
        <v>6</v>
      </c>
      <c r="AL223" s="20">
        <v>0</v>
      </c>
      <c r="AM223" s="20"/>
      <c r="AN223" s="20">
        <f t="shared" si="392"/>
        <v>1.1300000000000001</v>
      </c>
      <c r="AO223" s="20">
        <f t="shared" si="392"/>
        <v>6.4919000000000002</v>
      </c>
      <c r="AP223" s="94" t="s">
        <v>548</v>
      </c>
      <c r="AQ223" s="86"/>
      <c r="AR223" s="85">
        <f t="shared" si="438"/>
        <v>-0.19070000000000009</v>
      </c>
      <c r="AS223" s="85">
        <f t="shared" si="439"/>
        <v>0</v>
      </c>
      <c r="AT223" s="113">
        <f t="shared" si="310"/>
        <v>5.5526</v>
      </c>
      <c r="AV223" s="105">
        <f t="shared" si="309"/>
        <v>8.8817841970012523E-16</v>
      </c>
      <c r="AX223" s="31"/>
      <c r="AY223" s="15"/>
      <c r="AZ223" s="118">
        <v>0.48260000000000003</v>
      </c>
      <c r="BA223" s="118"/>
      <c r="BB223" s="118"/>
      <c r="BC223" s="118"/>
      <c r="BE223" s="118">
        <f t="shared" si="409"/>
        <v>0</v>
      </c>
      <c r="BF223" s="118">
        <f t="shared" si="410"/>
        <v>0</v>
      </c>
      <c r="BG223" s="118">
        <f t="shared" si="411"/>
        <v>6</v>
      </c>
      <c r="BH223" s="118">
        <f t="shared" si="412"/>
        <v>0</v>
      </c>
      <c r="BI223" s="122">
        <f t="shared" si="413"/>
        <v>6</v>
      </c>
      <c r="BJ223" s="118">
        <f t="shared" si="426"/>
        <v>0</v>
      </c>
      <c r="BK223" s="44">
        <v>2021</v>
      </c>
      <c r="BL223" s="8" t="b">
        <f t="shared" si="427"/>
        <v>0</v>
      </c>
      <c r="BM223" s="128">
        <f t="shared" si="400"/>
        <v>6.4919000000000002</v>
      </c>
      <c r="BN223" s="129">
        <f t="shared" si="352"/>
        <v>0</v>
      </c>
      <c r="BR223" s="73">
        <f t="shared" si="428"/>
        <v>0</v>
      </c>
      <c r="BS223" s="73">
        <f t="shared" si="429"/>
        <v>0</v>
      </c>
      <c r="BT223" s="73">
        <f t="shared" si="430"/>
        <v>8.4874367669702522E-3</v>
      </c>
      <c r="BU223" s="73">
        <f t="shared" si="431"/>
        <v>0.42252854285013508</v>
      </c>
      <c r="BV223" s="73">
        <f t="shared" si="432"/>
        <v>0</v>
      </c>
      <c r="BW223" s="73">
        <f t="shared" si="433"/>
        <v>4.8238400135050288</v>
      </c>
      <c r="BX223" s="73">
        <f t="shared" si="434"/>
        <v>0</v>
      </c>
      <c r="BY223" s="73">
        <f t="shared" si="435"/>
        <v>6.5477300880251579E-16</v>
      </c>
      <c r="BZ223" s="74">
        <f t="shared" si="436"/>
        <v>6.3058271917465616</v>
      </c>
      <c r="CB223" s="75">
        <f t="shared" si="401"/>
        <v>6.3058271917465607</v>
      </c>
      <c r="CJ223" s="70">
        <f t="shared" si="437"/>
        <v>0</v>
      </c>
      <c r="CK223" s="166"/>
      <c r="CL223" s="163"/>
      <c r="CM223" s="68"/>
      <c r="CN223" s="20">
        <v>0.17</v>
      </c>
      <c r="CQ223" s="177">
        <f t="shared" si="402"/>
        <v>0.4919</v>
      </c>
      <c r="CR223" s="177">
        <f t="shared" si="403"/>
        <v>-0.63810000000000011</v>
      </c>
    </row>
    <row r="224" spans="1:96" s="8" customFormat="1" ht="112.5" x14ac:dyDescent="0.3">
      <c r="A224" s="44"/>
      <c r="B224" s="51" t="s">
        <v>117</v>
      </c>
      <c r="C224" s="157" t="s">
        <v>603</v>
      </c>
      <c r="D224" s="28" t="s">
        <v>325</v>
      </c>
      <c r="E224" s="21" t="s">
        <v>181</v>
      </c>
      <c r="F224" s="21">
        <f t="shared" si="415"/>
        <v>2020</v>
      </c>
      <c r="G224" s="46">
        <f t="shared" si="416"/>
        <v>2023</v>
      </c>
      <c r="H224" s="46">
        <f t="shared" si="417"/>
        <v>2024</v>
      </c>
      <c r="I224" s="22" t="s">
        <v>131</v>
      </c>
      <c r="J224" s="20" t="s">
        <v>131</v>
      </c>
      <c r="K224" s="20">
        <v>0</v>
      </c>
      <c r="L224" s="20">
        <f t="shared" si="335"/>
        <v>18.918834664518386</v>
      </c>
      <c r="M224" s="20">
        <v>1.2373940510306618</v>
      </c>
      <c r="N224" s="20">
        <v>14.442399766960632</v>
      </c>
      <c r="O224" s="20">
        <v>3.1040524045964761</v>
      </c>
      <c r="P224" s="20">
        <v>0.13498844193061768</v>
      </c>
      <c r="Q224" s="20">
        <v>16.635000000000002</v>
      </c>
      <c r="R224" s="20">
        <f t="shared" si="419"/>
        <v>1.0880189189189187</v>
      </c>
      <c r="S224" s="20">
        <f t="shared" si="420"/>
        <v>12.698949189189193</v>
      </c>
      <c r="T224" s="20">
        <f t="shared" si="421"/>
        <v>2.7293389189189194</v>
      </c>
      <c r="U224" s="20">
        <f t="shared" si="422"/>
        <v>0.11869297297297299</v>
      </c>
      <c r="V224" s="20">
        <v>0</v>
      </c>
      <c r="W224" s="20">
        <f t="shared" si="344"/>
        <v>18.918834664518386</v>
      </c>
      <c r="X224" s="20"/>
      <c r="Y224" s="20">
        <f t="shared" si="423"/>
        <v>18.158834664518384</v>
      </c>
      <c r="Z224" s="28"/>
      <c r="AA224" s="20">
        <f t="shared" si="424"/>
        <v>15.875000000000002</v>
      </c>
      <c r="AB224" s="20">
        <v>0</v>
      </c>
      <c r="AC224" s="20">
        <v>0</v>
      </c>
      <c r="AD224" s="174">
        <v>0.76</v>
      </c>
      <c r="AE224" s="20">
        <v>0.76</v>
      </c>
      <c r="AF224" s="20"/>
      <c r="AG224" s="20"/>
      <c r="AH224" s="20">
        <v>11.355126434536524</v>
      </c>
      <c r="AI224" s="145">
        <f>10.005-0.62</f>
        <v>9.3850000000000016</v>
      </c>
      <c r="AJ224" s="20">
        <v>6.8037082299818659</v>
      </c>
      <c r="AK224" s="20">
        <v>1.02</v>
      </c>
      <c r="AL224" s="20">
        <v>0</v>
      </c>
      <c r="AM224" s="20">
        <v>5.47</v>
      </c>
      <c r="AN224" s="20">
        <f t="shared" si="392"/>
        <v>18.918834664518389</v>
      </c>
      <c r="AO224" s="20">
        <f t="shared" si="392"/>
        <v>16.635000000000002</v>
      </c>
      <c r="AP224" s="94" t="s">
        <v>548</v>
      </c>
      <c r="AQ224" s="86"/>
      <c r="AR224" s="85">
        <f t="shared" si="438"/>
        <v>0</v>
      </c>
      <c r="AS224" s="85">
        <f t="shared" si="439"/>
        <v>0</v>
      </c>
      <c r="AT224" s="113">
        <f t="shared" si="310"/>
        <v>-2.283834664518384</v>
      </c>
      <c r="AV224" s="105">
        <f t="shared" si="309"/>
        <v>0</v>
      </c>
      <c r="AX224" s="31"/>
      <c r="AY224" s="15"/>
      <c r="AZ224" s="118"/>
      <c r="BA224" s="118">
        <v>10.005000000000001</v>
      </c>
      <c r="BB224" s="118">
        <v>1.02</v>
      </c>
      <c r="BC224" s="118">
        <v>5.47</v>
      </c>
      <c r="BE224" s="118">
        <f t="shared" si="409"/>
        <v>0</v>
      </c>
      <c r="BF224" s="118">
        <f t="shared" si="410"/>
        <v>-0.61999999999999922</v>
      </c>
      <c r="BG224" s="118">
        <f t="shared" si="411"/>
        <v>0</v>
      </c>
      <c r="BH224" s="118">
        <f t="shared" si="412"/>
        <v>0</v>
      </c>
      <c r="BI224" s="122">
        <f t="shared" si="413"/>
        <v>-0.61999999999999922</v>
      </c>
      <c r="BJ224" s="118">
        <f t="shared" si="426"/>
        <v>0</v>
      </c>
      <c r="BK224" s="44">
        <v>2024</v>
      </c>
      <c r="BL224" s="8" t="b">
        <f t="shared" si="427"/>
        <v>1</v>
      </c>
      <c r="BM224" s="128">
        <f t="shared" si="400"/>
        <v>16.635000000000002</v>
      </c>
      <c r="BN224" s="129">
        <f t="shared" si="352"/>
        <v>0</v>
      </c>
      <c r="BR224" s="73">
        <f t="shared" si="428"/>
        <v>0</v>
      </c>
      <c r="BS224" s="73">
        <f t="shared" si="429"/>
        <v>0</v>
      </c>
      <c r="BT224" s="73">
        <f t="shared" si="430"/>
        <v>0.69359698310724638</v>
      </c>
      <c r="BU224" s="73">
        <f t="shared" si="431"/>
        <v>0</v>
      </c>
      <c r="BV224" s="73">
        <f t="shared" si="432"/>
        <v>7.8765349303352412</v>
      </c>
      <c r="BW224" s="73">
        <f t="shared" si="433"/>
        <v>0.82005280229585487</v>
      </c>
      <c r="BX224" s="73">
        <f t="shared" si="434"/>
        <v>4.2111763133953604</v>
      </c>
      <c r="BY224" s="73">
        <f t="shared" si="435"/>
        <v>6.5477300880251579E-16</v>
      </c>
      <c r="BZ224" s="74">
        <f t="shared" si="436"/>
        <v>16.321633234960441</v>
      </c>
      <c r="CB224" s="75">
        <f t="shared" si="401"/>
        <v>16.321633234960441</v>
      </c>
      <c r="CJ224" s="70">
        <f t="shared" si="437"/>
        <v>-3.4416913763379853E-15</v>
      </c>
      <c r="CK224" s="166"/>
      <c r="CL224" s="163"/>
      <c r="CM224" s="68"/>
      <c r="CN224" s="20">
        <v>0.79</v>
      </c>
      <c r="CQ224" s="177">
        <f t="shared" si="402"/>
        <v>18.918834664518389</v>
      </c>
      <c r="CR224" s="177">
        <f t="shared" si="403"/>
        <v>0</v>
      </c>
    </row>
    <row r="225" spans="1:96" s="8" customFormat="1" ht="56.25" x14ac:dyDescent="0.3">
      <c r="A225" s="44"/>
      <c r="B225" s="51" t="s">
        <v>117</v>
      </c>
      <c r="C225" s="157" t="s">
        <v>414</v>
      </c>
      <c r="D225" s="28" t="s">
        <v>326</v>
      </c>
      <c r="E225" s="21" t="s">
        <v>181</v>
      </c>
      <c r="F225" s="21">
        <f t="shared" si="415"/>
        <v>2021</v>
      </c>
      <c r="G225" s="46" t="str">
        <f t="shared" si="416"/>
        <v>Ошибка в +</v>
      </c>
      <c r="H225" s="46">
        <f t="shared" si="417"/>
        <v>2023</v>
      </c>
      <c r="I225" s="22" t="s">
        <v>131</v>
      </c>
      <c r="J225" s="20" t="s">
        <v>131</v>
      </c>
      <c r="K225" s="20">
        <v>0</v>
      </c>
      <c r="L225" s="20">
        <f t="shared" si="335"/>
        <v>3.9917556229484608</v>
      </c>
      <c r="M225" s="20">
        <v>0.26070972863959474</v>
      </c>
      <c r="N225" s="20">
        <v>1.5632927802500141</v>
      </c>
      <c r="O225" s="20">
        <v>1.935045541458325</v>
      </c>
      <c r="P225" s="20">
        <v>0.2327075726005271</v>
      </c>
      <c r="Q225" s="20">
        <v>4.4253400000000003</v>
      </c>
      <c r="R225" s="20">
        <f t="shared" si="419"/>
        <v>0.28902801161103059</v>
      </c>
      <c r="S225" s="20">
        <f t="shared" si="420"/>
        <v>1.733097595549105</v>
      </c>
      <c r="T225" s="20">
        <f t="shared" si="421"/>
        <v>2.1452301306240931</v>
      </c>
      <c r="U225" s="20">
        <f t="shared" si="422"/>
        <v>0.25798426221577164</v>
      </c>
      <c r="V225" s="20">
        <v>0</v>
      </c>
      <c r="W225" s="20">
        <f t="shared" si="344"/>
        <v>3.9917556229484608</v>
      </c>
      <c r="X225" s="20"/>
      <c r="Y225" s="20">
        <f t="shared" si="423"/>
        <v>-3.7082443770515385</v>
      </c>
      <c r="Z225" s="28"/>
      <c r="AA225" s="20">
        <f t="shared" si="424"/>
        <v>4.0103400000000002</v>
      </c>
      <c r="AB225" s="20">
        <v>0</v>
      </c>
      <c r="AC225" s="20">
        <v>0</v>
      </c>
      <c r="AD225" s="174">
        <v>4.0999999999999996</v>
      </c>
      <c r="AE225" s="20"/>
      <c r="AF225" s="20">
        <v>3.6</v>
      </c>
      <c r="AG225" s="20">
        <v>0.41499999999999998</v>
      </c>
      <c r="AH225" s="20"/>
      <c r="AI225" s="145">
        <v>0.62</v>
      </c>
      <c r="AJ225" s="20"/>
      <c r="AK225" s="20">
        <v>3.3903400000000001</v>
      </c>
      <c r="AL225" s="20">
        <v>0.39175562294846028</v>
      </c>
      <c r="AM225" s="20"/>
      <c r="AN225" s="20">
        <f t="shared" si="392"/>
        <v>8.09175562294846</v>
      </c>
      <c r="AO225" s="20">
        <f t="shared" si="392"/>
        <v>4.4253400000000003</v>
      </c>
      <c r="AP225" s="94" t="s">
        <v>548</v>
      </c>
      <c r="AQ225" s="86"/>
      <c r="AR225" s="85">
        <f t="shared" si="438"/>
        <v>-4.0999999999999996</v>
      </c>
      <c r="AS225" s="85">
        <f t="shared" si="439"/>
        <v>0</v>
      </c>
      <c r="AT225" s="113">
        <f t="shared" si="310"/>
        <v>0.43358437705153952</v>
      </c>
      <c r="AV225" s="105">
        <f t="shared" si="309"/>
        <v>0</v>
      </c>
      <c r="AX225" s="31"/>
      <c r="AY225" s="15"/>
      <c r="AZ225" s="118">
        <v>0.41499999999999998</v>
      </c>
      <c r="BA225" s="118"/>
      <c r="BB225" s="118">
        <v>3.3903400000000001</v>
      </c>
      <c r="BC225" s="118"/>
      <c r="BE225" s="118">
        <f t="shared" si="409"/>
        <v>0</v>
      </c>
      <c r="BF225" s="118">
        <f t="shared" si="410"/>
        <v>0.62</v>
      </c>
      <c r="BG225" s="118">
        <f t="shared" si="411"/>
        <v>0</v>
      </c>
      <c r="BH225" s="118">
        <f t="shared" si="412"/>
        <v>0</v>
      </c>
      <c r="BI225" s="122">
        <f t="shared" si="413"/>
        <v>0.62</v>
      </c>
      <c r="BJ225" s="118">
        <f t="shared" si="426"/>
        <v>0</v>
      </c>
      <c r="BK225" s="44">
        <v>2023</v>
      </c>
      <c r="BL225" s="8" t="b">
        <f t="shared" si="427"/>
        <v>1</v>
      </c>
      <c r="BM225" s="128">
        <f t="shared" si="400"/>
        <v>4.4253400000000003</v>
      </c>
      <c r="BN225" s="129">
        <f t="shared" si="352"/>
        <v>0</v>
      </c>
      <c r="BR225" s="73">
        <f t="shared" si="428"/>
        <v>0</v>
      </c>
      <c r="BS225" s="73">
        <f t="shared" si="429"/>
        <v>0</v>
      </c>
      <c r="BT225" s="73">
        <f t="shared" si="430"/>
        <v>0</v>
      </c>
      <c r="BU225" s="73">
        <f t="shared" si="431"/>
        <v>0.36334302793784923</v>
      </c>
      <c r="BV225" s="73">
        <f t="shared" si="432"/>
        <v>0.52034647382076171</v>
      </c>
      <c r="BW225" s="73">
        <f t="shared" si="433"/>
        <v>2.7257429585644397</v>
      </c>
      <c r="BX225" s="73">
        <f t="shared" si="434"/>
        <v>0</v>
      </c>
      <c r="BY225" s="73">
        <f t="shared" si="435"/>
        <v>0</v>
      </c>
      <c r="BZ225" s="74">
        <f t="shared" si="436"/>
        <v>4.3313189523876607</v>
      </c>
      <c r="CB225" s="75">
        <f t="shared" si="401"/>
        <v>4.3313189523876607</v>
      </c>
      <c r="CJ225" s="70">
        <f t="shared" si="437"/>
        <v>0</v>
      </c>
      <c r="CK225" s="166"/>
      <c r="CL225" s="163"/>
      <c r="CM225" s="68"/>
      <c r="CN225" s="20">
        <v>4.1340000000000003</v>
      </c>
      <c r="CQ225" s="177">
        <f t="shared" si="402"/>
        <v>0.80675562294846026</v>
      </c>
      <c r="CR225" s="177">
        <f t="shared" si="403"/>
        <v>-7.2850000000000001</v>
      </c>
    </row>
    <row r="226" spans="1:96" s="8" customFormat="1" ht="99" x14ac:dyDescent="0.3">
      <c r="A226" s="44"/>
      <c r="B226" s="51" t="s">
        <v>117</v>
      </c>
      <c r="C226" s="76" t="s">
        <v>494</v>
      </c>
      <c r="D226" s="28" t="s">
        <v>484</v>
      </c>
      <c r="E226" s="21" t="s">
        <v>488</v>
      </c>
      <c r="F226" s="21">
        <f t="shared" si="415"/>
        <v>2021</v>
      </c>
      <c r="G226" s="46">
        <f t="shared" si="416"/>
        <v>2021</v>
      </c>
      <c r="H226" s="46">
        <f t="shared" si="417"/>
        <v>2022</v>
      </c>
      <c r="I226" s="22" t="s">
        <v>131</v>
      </c>
      <c r="J226" s="28">
        <f t="shared" ref="J226:J227" si="440">Q226</f>
        <v>457.36789999999996</v>
      </c>
      <c r="K226" s="20">
        <v>0</v>
      </c>
      <c r="L226" s="20">
        <f t="shared" si="335"/>
        <v>34.999999999999993</v>
      </c>
      <c r="M226" s="20">
        <v>2.4500000000000002</v>
      </c>
      <c r="N226" s="20">
        <v>28.7</v>
      </c>
      <c r="O226" s="20">
        <v>1.05</v>
      </c>
      <c r="P226" s="20">
        <v>2.8000000000000003</v>
      </c>
      <c r="Q226" s="20">
        <v>457.36789999999996</v>
      </c>
      <c r="R226" s="20">
        <f>0.07*Q226</f>
        <v>32.015753000000004</v>
      </c>
      <c r="S226" s="20">
        <f>0.82*Q226</f>
        <v>375.04167799999993</v>
      </c>
      <c r="T226" s="20">
        <f>0.03*Q226</f>
        <v>13.721036999999999</v>
      </c>
      <c r="U226" s="20">
        <f>0.08*Q226</f>
        <v>36.589431999999995</v>
      </c>
      <c r="V226" s="20">
        <v>0</v>
      </c>
      <c r="W226" s="20">
        <f t="shared" si="344"/>
        <v>34.999999999999993</v>
      </c>
      <c r="X226" s="20"/>
      <c r="Y226" s="20">
        <f t="shared" si="423"/>
        <v>0</v>
      </c>
      <c r="Z226" s="28"/>
      <c r="AA226" s="20">
        <f t="shared" si="424"/>
        <v>421.53339999999997</v>
      </c>
      <c r="AB226" s="20">
        <v>0</v>
      </c>
      <c r="AC226" s="20">
        <v>0</v>
      </c>
      <c r="AD226" s="20">
        <v>0</v>
      </c>
      <c r="AE226" s="20"/>
      <c r="AF226" s="20">
        <v>35</v>
      </c>
      <c r="AG226" s="20">
        <v>35.834499999999998</v>
      </c>
      <c r="AH226" s="20"/>
      <c r="AI226" s="20">
        <v>421.53339999999997</v>
      </c>
      <c r="AJ226" s="20"/>
      <c r="AK226" s="20"/>
      <c r="AL226" s="20"/>
      <c r="AM226" s="20"/>
      <c r="AN226" s="20">
        <f t="shared" si="392"/>
        <v>35</v>
      </c>
      <c r="AO226" s="20">
        <f t="shared" si="392"/>
        <v>457.36789999999996</v>
      </c>
      <c r="AP226" s="94" t="s">
        <v>495</v>
      </c>
      <c r="AQ226" s="130"/>
      <c r="AR226" s="85">
        <f t="shared" si="438"/>
        <v>0</v>
      </c>
      <c r="AS226" s="85">
        <f t="shared" si="439"/>
        <v>0</v>
      </c>
      <c r="AT226" s="113">
        <f t="shared" si="310"/>
        <v>422.36789999999996</v>
      </c>
      <c r="AV226" s="105">
        <f t="shared" si="309"/>
        <v>0</v>
      </c>
      <c r="AX226" s="31">
        <f t="shared" ref="AX226:AX227" si="441">J226-Q226</f>
        <v>0</v>
      </c>
      <c r="AY226" s="15"/>
      <c r="AZ226" s="118">
        <v>35.834499999999998</v>
      </c>
      <c r="BA226" s="118">
        <v>310</v>
      </c>
      <c r="BB226" s="118"/>
      <c r="BC226" s="118"/>
      <c r="BE226" s="118">
        <f t="shared" si="409"/>
        <v>0</v>
      </c>
      <c r="BF226" s="118">
        <f t="shared" si="410"/>
        <v>111.53339999999997</v>
      </c>
      <c r="BG226" s="118">
        <f t="shared" si="411"/>
        <v>0</v>
      </c>
      <c r="BH226" s="118">
        <f t="shared" si="412"/>
        <v>0</v>
      </c>
      <c r="BI226" s="122">
        <f t="shared" si="413"/>
        <v>111.53339999999997</v>
      </c>
      <c r="BJ226" s="118">
        <f t="shared" si="426"/>
        <v>0</v>
      </c>
      <c r="BK226" s="44">
        <v>2022</v>
      </c>
      <c r="BL226" s="8" t="b">
        <f t="shared" si="427"/>
        <v>1</v>
      </c>
      <c r="BM226" s="128">
        <f t="shared" si="400"/>
        <v>457.36789999999996</v>
      </c>
      <c r="BN226" s="129">
        <f t="shared" si="352"/>
        <v>0</v>
      </c>
      <c r="BR226" s="73">
        <f t="shared" si="428"/>
        <v>0</v>
      </c>
      <c r="BS226" s="73">
        <f t="shared" si="429"/>
        <v>0</v>
      </c>
      <c r="BT226" s="73"/>
      <c r="BU226" s="73">
        <f>AG226</f>
        <v>35.834499999999998</v>
      </c>
      <c r="BV226" s="73"/>
      <c r="BW226" s="73"/>
      <c r="BX226" s="73"/>
      <c r="BY226" s="73"/>
      <c r="BZ226" s="74"/>
      <c r="CB226" s="75">
        <f t="shared" si="401"/>
        <v>462.1844648808173</v>
      </c>
      <c r="CJ226" s="70">
        <f t="shared" si="437"/>
        <v>0</v>
      </c>
      <c r="CK226" s="166"/>
      <c r="CL226" s="163"/>
      <c r="CM226" s="68"/>
      <c r="CN226" s="20"/>
      <c r="CQ226" s="177">
        <f t="shared" si="402"/>
        <v>35.834499999999998</v>
      </c>
      <c r="CR226" s="177">
        <f t="shared" si="403"/>
        <v>0.83449999999999847</v>
      </c>
    </row>
    <row r="227" spans="1:96" s="8" customFormat="1" ht="37.5" x14ac:dyDescent="0.3">
      <c r="A227" s="44"/>
      <c r="B227" s="51" t="s">
        <v>117</v>
      </c>
      <c r="C227" s="76" t="s">
        <v>415</v>
      </c>
      <c r="D227" s="28" t="s">
        <v>327</v>
      </c>
      <c r="E227" s="21" t="s">
        <v>488</v>
      </c>
      <c r="F227" s="21">
        <f t="shared" si="415"/>
        <v>2021</v>
      </c>
      <c r="G227" s="46">
        <f t="shared" si="416"/>
        <v>2022</v>
      </c>
      <c r="H227" s="46">
        <f t="shared" si="417"/>
        <v>2022</v>
      </c>
      <c r="I227" s="22" t="s">
        <v>131</v>
      </c>
      <c r="J227" s="28">
        <f t="shared" si="440"/>
        <v>3.2429585194979413</v>
      </c>
      <c r="K227" s="20">
        <v>0</v>
      </c>
      <c r="L227" s="20">
        <f t="shared" si="335"/>
        <v>16.342995749445244</v>
      </c>
      <c r="M227" s="20">
        <v>1.4708187114872515</v>
      </c>
      <c r="N227" s="20">
        <v>3.5954154311955362</v>
      </c>
      <c r="O227" s="20">
        <v>10.622983598541424</v>
      </c>
      <c r="P227" s="20">
        <v>0.65377800822103305</v>
      </c>
      <c r="Q227" s="20">
        <v>3.2429585194979413</v>
      </c>
      <c r="R227" s="20">
        <f t="shared" ref="R227:R248" si="442">M227/L227*Q227</f>
        <v>0.29185616542894077</v>
      </c>
      <c r="S227" s="20">
        <f t="shared" ref="S227:S248" si="443">N227/L227*Q227</f>
        <v>0.71344221601022662</v>
      </c>
      <c r="T227" s="20">
        <f t="shared" ref="T227:T248" si="444">O227/L227*Q227</f>
        <v>2.1079302529064292</v>
      </c>
      <c r="U227" s="20">
        <f t="shared" ref="U227:U248" si="445">P227/L227*Q227</f>
        <v>0.12972988515234501</v>
      </c>
      <c r="V227" s="20">
        <v>0</v>
      </c>
      <c r="W227" s="20">
        <f t="shared" si="344"/>
        <v>16.342995749445244</v>
      </c>
      <c r="X227" s="20"/>
      <c r="Y227" s="20">
        <f t="shared" si="423"/>
        <v>13.282995749445243</v>
      </c>
      <c r="Z227" s="28"/>
      <c r="AA227" s="20">
        <f t="shared" si="424"/>
        <v>1.1096585194979411</v>
      </c>
      <c r="AB227" s="20">
        <v>0</v>
      </c>
      <c r="AC227" s="20">
        <v>0</v>
      </c>
      <c r="AD227" s="20"/>
      <c r="AE227" s="20"/>
      <c r="AF227" s="20">
        <v>3.06</v>
      </c>
      <c r="AG227" s="20">
        <v>2.1333000000000002</v>
      </c>
      <c r="AH227" s="20">
        <v>13.282995749445245</v>
      </c>
      <c r="AI227" s="20">
        <v>1.1096585194979409</v>
      </c>
      <c r="AJ227" s="20"/>
      <c r="AK227" s="20"/>
      <c r="AL227" s="20"/>
      <c r="AM227" s="20"/>
      <c r="AN227" s="20">
        <f t="shared" si="392"/>
        <v>16.342995749445244</v>
      </c>
      <c r="AO227" s="20">
        <f t="shared" si="392"/>
        <v>3.2429585194979413</v>
      </c>
      <c r="AP227" s="94" t="s">
        <v>548</v>
      </c>
      <c r="AQ227" s="130"/>
      <c r="AR227" s="85">
        <f t="shared" si="438"/>
        <v>0</v>
      </c>
      <c r="AS227" s="85">
        <f t="shared" si="439"/>
        <v>0</v>
      </c>
      <c r="AT227" s="113">
        <f t="shared" si="310"/>
        <v>-13.100037229947302</v>
      </c>
      <c r="AV227" s="105">
        <f t="shared" si="309"/>
        <v>2.2204460492503131E-16</v>
      </c>
      <c r="AX227" s="31">
        <f t="shared" si="441"/>
        <v>0</v>
      </c>
      <c r="AY227" s="166"/>
      <c r="AZ227" s="118">
        <v>2.1333000000000002</v>
      </c>
      <c r="BA227" s="118">
        <v>1.1096585194979409</v>
      </c>
      <c r="BB227" s="118"/>
      <c r="BC227" s="118"/>
      <c r="BE227" s="118">
        <f t="shared" si="409"/>
        <v>0</v>
      </c>
      <c r="BF227" s="118">
        <f t="shared" si="410"/>
        <v>0</v>
      </c>
      <c r="BG227" s="118">
        <f t="shared" si="411"/>
        <v>0</v>
      </c>
      <c r="BH227" s="118">
        <f t="shared" si="412"/>
        <v>0</v>
      </c>
      <c r="BI227" s="122">
        <f t="shared" si="413"/>
        <v>0</v>
      </c>
      <c r="BJ227" s="118">
        <f t="shared" si="426"/>
        <v>0</v>
      </c>
      <c r="BK227" s="44">
        <v>2022</v>
      </c>
      <c r="BL227" s="8" t="b">
        <f t="shared" si="427"/>
        <v>1</v>
      </c>
      <c r="BM227" s="128">
        <f t="shared" si="400"/>
        <v>3.2429585194979413</v>
      </c>
      <c r="BN227" s="129">
        <f t="shared" si="352"/>
        <v>0</v>
      </c>
      <c r="BR227" s="73">
        <f t="shared" si="428"/>
        <v>0</v>
      </c>
      <c r="BS227" s="73">
        <f t="shared" si="429"/>
        <v>0</v>
      </c>
      <c r="BT227" s="73">
        <f t="shared" ref="BT227:BT263" si="446">AE227/$BT$15</f>
        <v>0</v>
      </c>
      <c r="BU227" s="73">
        <f t="shared" ref="BU227:BU263" si="447">AG227/$BU$15</f>
        <v>1.8677582686742502</v>
      </c>
      <c r="BV227" s="73">
        <f t="shared" ref="BV227:BV263" si="448">AI227/$BV$15</f>
        <v>0.93130144800954928</v>
      </c>
      <c r="BW227" s="73">
        <f t="shared" ref="BW227:BW263" si="449">AK227/$BW$15</f>
        <v>0</v>
      </c>
      <c r="BX227" s="73">
        <f t="shared" ref="BX227:BX263" si="450">AM227/$BX$15</f>
        <v>0</v>
      </c>
      <c r="BY227" s="73">
        <f t="shared" ref="BY227:BY263" si="451">(Q227-K227-AC227-AE227-AG227-AI227-AK227-AM227)/$BY$15</f>
        <v>1.6369325220062895E-16</v>
      </c>
      <c r="BZ227" s="74">
        <f t="shared" ref="BZ227:BZ248" si="452">SUM(BR227:BY227)*1.2</f>
        <v>3.3588716600205593</v>
      </c>
      <c r="CB227" s="75">
        <f t="shared" si="401"/>
        <v>3.3588716600205593</v>
      </c>
      <c r="CJ227" s="70">
        <f t="shared" si="437"/>
        <v>-4.9960036108132044E-16</v>
      </c>
      <c r="CK227" s="166"/>
      <c r="CL227" s="163"/>
      <c r="CM227" s="68"/>
      <c r="CN227" s="20"/>
      <c r="CQ227" s="177">
        <f t="shared" si="402"/>
        <v>15.416295749445245</v>
      </c>
      <c r="CR227" s="177">
        <f t="shared" si="403"/>
        <v>-0.92669999999999852</v>
      </c>
    </row>
    <row r="228" spans="1:96" ht="37.5" x14ac:dyDescent="0.3">
      <c r="B228" s="51" t="s">
        <v>117</v>
      </c>
      <c r="C228" s="76" t="s">
        <v>417</v>
      </c>
      <c r="D228" s="28" t="s">
        <v>329</v>
      </c>
      <c r="E228" s="21" t="s">
        <v>488</v>
      </c>
      <c r="F228" s="21">
        <f t="shared" si="415"/>
        <v>2021</v>
      </c>
      <c r="G228" s="46">
        <f t="shared" si="416"/>
        <v>2022</v>
      </c>
      <c r="H228" s="46">
        <f t="shared" si="417"/>
        <v>2023</v>
      </c>
      <c r="I228" s="22" t="s">
        <v>131</v>
      </c>
      <c r="J228" s="20" t="s">
        <v>131</v>
      </c>
      <c r="K228" s="20">
        <v>0</v>
      </c>
      <c r="L228" s="20">
        <f>M228+N228+O228+P228</f>
        <v>18.695636860561127</v>
      </c>
      <c r="M228" s="20">
        <v>1.6830273060052561</v>
      </c>
      <c r="N228" s="20">
        <v>4.1128147496111396</v>
      </c>
      <c r="O228" s="20">
        <v>12.15201030501543</v>
      </c>
      <c r="P228" s="20">
        <v>0.7477844999292983</v>
      </c>
      <c r="Q228" s="20">
        <v>19.746328500000001</v>
      </c>
      <c r="R228" s="20">
        <f>M228/L228*Q228</f>
        <v>1.777613156840721</v>
      </c>
      <c r="S228" s="20">
        <f>N228/L228*Q228</f>
        <v>4.3439542451098561</v>
      </c>
      <c r="T228" s="20">
        <f>O228/L228*Q228</f>
        <v>12.834951235302174</v>
      </c>
      <c r="U228" s="20">
        <f>P228/L228*Q228</f>
        <v>0.78980986274724674</v>
      </c>
      <c r="V228" s="20">
        <v>0</v>
      </c>
      <c r="W228" s="20">
        <f>L228-K228</f>
        <v>18.695636860561127</v>
      </c>
      <c r="X228" s="20"/>
      <c r="Y228" s="20">
        <f>W228-(AB228+AD228+AF228)</f>
        <v>15.495636860561127</v>
      </c>
      <c r="Z228" s="28"/>
      <c r="AA228" s="20">
        <f>Q228-(K228+AC228+AE228+AG228)</f>
        <v>17.5239285</v>
      </c>
      <c r="AB228" s="20">
        <v>0</v>
      </c>
      <c r="AC228" s="20">
        <v>0</v>
      </c>
      <c r="AD228" s="20"/>
      <c r="AE228" s="20"/>
      <c r="AF228" s="20">
        <v>3.2</v>
      </c>
      <c r="AG228" s="20">
        <v>2.2223999999999999</v>
      </c>
      <c r="AH228" s="20">
        <v>15.495636860561126</v>
      </c>
      <c r="AI228" s="20">
        <v>11.276899999999999</v>
      </c>
      <c r="AJ228" s="20"/>
      <c r="AK228" s="20">
        <v>6.2470284999999999</v>
      </c>
      <c r="AL228" s="20"/>
      <c r="AM228" s="20"/>
      <c r="AN228" s="20">
        <f>SUM(AD228+AF228+AH228+AJ228+AL228)</f>
        <v>18.695636860561127</v>
      </c>
      <c r="AO228" s="20">
        <f>SUM(AE228+AG228+AI228+AK228+AM228)</f>
        <v>19.746328500000001</v>
      </c>
      <c r="AP228" s="94" t="s">
        <v>548</v>
      </c>
      <c r="AQ228" s="130"/>
      <c r="AR228" s="85">
        <f>L228-(K228+AB228+AD228+AF228+AH228+AJ228+AL228)</f>
        <v>0</v>
      </c>
      <c r="AS228" s="85">
        <f>Q228-(K228+AC228+AE228+AG228+AI228+AK228+AM228)</f>
        <v>0</v>
      </c>
      <c r="AT228" s="113">
        <f t="shared" si="310"/>
        <v>1.0506916394388739</v>
      </c>
      <c r="AV228" s="105">
        <f t="shared" si="309"/>
        <v>8.8817841970012523E-16</v>
      </c>
      <c r="AX228" s="31"/>
      <c r="AY228" s="15"/>
      <c r="AZ228" s="118">
        <v>2.2223999999999999</v>
      </c>
      <c r="BA228" s="118">
        <v>14.526438800700316</v>
      </c>
      <c r="BB228" s="118"/>
      <c r="BC228" s="118"/>
      <c r="BD228" s="8"/>
      <c r="BE228" s="118">
        <f t="shared" si="409"/>
        <v>0</v>
      </c>
      <c r="BF228" s="118">
        <f t="shared" si="410"/>
        <v>-3.2495388007003161</v>
      </c>
      <c r="BG228" s="118">
        <f t="shared" si="411"/>
        <v>6.2470284999999999</v>
      </c>
      <c r="BH228" s="118">
        <f t="shared" si="412"/>
        <v>0</v>
      </c>
      <c r="BI228" s="122">
        <f t="shared" si="413"/>
        <v>2.9974896992996838</v>
      </c>
      <c r="BJ228" s="118">
        <f t="shared" si="426"/>
        <v>0</v>
      </c>
      <c r="BK228" s="108">
        <v>2022</v>
      </c>
      <c r="BL228" s="8" t="b">
        <f t="shared" si="427"/>
        <v>0</v>
      </c>
      <c r="BM228" s="128">
        <f t="shared" si="400"/>
        <v>19.746328500000001</v>
      </c>
      <c r="BN228" s="129">
        <f t="shared" si="352"/>
        <v>0</v>
      </c>
      <c r="BR228" s="73">
        <f>K228/$BR$15</f>
        <v>0</v>
      </c>
      <c r="BS228" s="73">
        <f>AC228/$BS$15</f>
        <v>0</v>
      </c>
      <c r="BT228" s="73">
        <f>AE228/$BT$15</f>
        <v>0</v>
      </c>
      <c r="BU228" s="73">
        <f>AG228/$BU$15</f>
        <v>1.9457675790098219</v>
      </c>
      <c r="BV228" s="73">
        <f>AI228/$BV$15</f>
        <v>9.4643470171441102</v>
      </c>
      <c r="BW228" s="73">
        <f>AK228/$BW$15</f>
        <v>5.0224443406343831</v>
      </c>
      <c r="BX228" s="73">
        <f>AM228/$BX$15</f>
        <v>0</v>
      </c>
      <c r="BY228" s="73">
        <f>(Q228-K228-AC228-AE228-AG228-AI228-AK228-AM228)/$BY$15</f>
        <v>6.5477300880251579E-16</v>
      </c>
      <c r="BZ228" s="74">
        <f>SUM(BR228:BY228)*1.2</f>
        <v>19.719070724145976</v>
      </c>
      <c r="CB228" s="75">
        <f>((Q228-(K228+AC228+AE228+AG228+AI228+AK228+AM228))/$BY$15+K228/$BR$15+AC228/$BS$15+AE228/$BT$15+AG228/$BU$15+AI228/$BV$15+AK228/$BW$15+AM228/$BX$15)*1.2</f>
        <v>19.719070724145976</v>
      </c>
      <c r="CE228" s="8"/>
      <c r="CJ228" s="70">
        <f>Q228-R228-S228-T228-U228</f>
        <v>1.1102230246251565E-15</v>
      </c>
      <c r="CL228" s="163"/>
      <c r="CM228" s="68"/>
      <c r="CN228" s="20"/>
      <c r="CQ228" s="177">
        <f t="shared" si="402"/>
        <v>17.718036860561124</v>
      </c>
      <c r="CR228" s="177">
        <f t="shared" si="403"/>
        <v>-0.97760000000000247</v>
      </c>
    </row>
    <row r="229" spans="1:96" ht="37.5" x14ac:dyDescent="0.3">
      <c r="B229" s="51" t="s">
        <v>117</v>
      </c>
      <c r="C229" s="76" t="s">
        <v>416</v>
      </c>
      <c r="D229" s="28" t="s">
        <v>328</v>
      </c>
      <c r="E229" s="21" t="s">
        <v>488</v>
      </c>
      <c r="F229" s="21">
        <f t="shared" si="415"/>
        <v>2021</v>
      </c>
      <c r="G229" s="46">
        <f t="shared" si="416"/>
        <v>2022</v>
      </c>
      <c r="H229" s="46">
        <f t="shared" si="417"/>
        <v>2023</v>
      </c>
      <c r="I229" s="22" t="s">
        <v>131</v>
      </c>
      <c r="J229" s="20" t="s">
        <v>131</v>
      </c>
      <c r="K229" s="20">
        <v>0</v>
      </c>
      <c r="L229" s="20">
        <f t="shared" si="335"/>
        <v>14.195871716641125</v>
      </c>
      <c r="M229" s="20">
        <v>1.2775387841453874</v>
      </c>
      <c r="N229" s="20">
        <v>3.1231656238335419</v>
      </c>
      <c r="O229" s="20">
        <v>9.2270792531194292</v>
      </c>
      <c r="P229" s="20">
        <v>0.5680880555427672</v>
      </c>
      <c r="Q229" s="20">
        <v>17.805099999999999</v>
      </c>
      <c r="R229" s="20">
        <f t="shared" si="442"/>
        <v>1.6023465314160446</v>
      </c>
      <c r="S229" s="20">
        <f t="shared" si="443"/>
        <v>3.9172146211867873</v>
      </c>
      <c r="T229" s="20">
        <f t="shared" si="444"/>
        <v>11.57301728904247</v>
      </c>
      <c r="U229" s="20">
        <f t="shared" si="445"/>
        <v>0.71252155835469855</v>
      </c>
      <c r="V229" s="20">
        <v>0</v>
      </c>
      <c r="W229" s="20">
        <f t="shared" si="344"/>
        <v>14.195871716641125</v>
      </c>
      <c r="X229" s="20"/>
      <c r="Y229" s="20">
        <f t="shared" si="423"/>
        <v>6.1958717166411255</v>
      </c>
      <c r="Z229" s="28"/>
      <c r="AA229" s="20">
        <f t="shared" si="424"/>
        <v>9.91</v>
      </c>
      <c r="AB229" s="20">
        <v>0</v>
      </c>
      <c r="AC229" s="20">
        <v>0</v>
      </c>
      <c r="AD229" s="20"/>
      <c r="AE229" s="20"/>
      <c r="AF229" s="20">
        <v>8</v>
      </c>
      <c r="AG229" s="20">
        <v>7.8950999999999993</v>
      </c>
      <c r="AH229" s="20">
        <v>6.1958717166411263</v>
      </c>
      <c r="AI229" s="20">
        <v>9.5</v>
      </c>
      <c r="AJ229" s="20"/>
      <c r="AK229" s="20">
        <v>0.41000000000000003</v>
      </c>
      <c r="AL229" s="20"/>
      <c r="AM229" s="20"/>
      <c r="AN229" s="20">
        <f t="shared" si="392"/>
        <v>14.195871716641125</v>
      </c>
      <c r="AO229" s="20">
        <f t="shared" si="392"/>
        <v>17.805099999999999</v>
      </c>
      <c r="AP229" s="94" t="s">
        <v>548</v>
      </c>
      <c r="AQ229" s="130"/>
      <c r="AR229" s="85">
        <f t="shared" si="438"/>
        <v>0</v>
      </c>
      <c r="AS229" s="85">
        <f t="shared" si="439"/>
        <v>0</v>
      </c>
      <c r="AT229" s="113">
        <f t="shared" si="310"/>
        <v>3.609228283358874</v>
      </c>
      <c r="AV229" s="105">
        <f t="shared" ref="AV229:AV263" si="453">Q229-K229-AC229-AE229-AG229-AI229-AK229-AM229</f>
        <v>1.1102230246251565E-16</v>
      </c>
      <c r="AX229" s="31"/>
      <c r="AY229" s="15"/>
      <c r="AZ229" s="118">
        <v>7.8950999999999993</v>
      </c>
      <c r="BA229" s="118">
        <v>6.2502743964428698</v>
      </c>
      <c r="BB229" s="118">
        <v>5.406575255102041</v>
      </c>
      <c r="BC229" s="118"/>
      <c r="BD229" s="8"/>
      <c r="BE229" s="118">
        <f t="shared" si="409"/>
        <v>0</v>
      </c>
      <c r="BF229" s="118">
        <f t="shared" si="410"/>
        <v>3.2497256035571302</v>
      </c>
      <c r="BG229" s="118">
        <f t="shared" si="411"/>
        <v>-4.9965752551020408</v>
      </c>
      <c r="BH229" s="118">
        <f t="shared" si="412"/>
        <v>0</v>
      </c>
      <c r="BI229" s="122">
        <f t="shared" si="413"/>
        <v>-1.7468496515449106</v>
      </c>
      <c r="BJ229" s="118">
        <f t="shared" si="426"/>
        <v>0</v>
      </c>
      <c r="BK229" s="108">
        <v>2023</v>
      </c>
      <c r="BL229" s="8" t="b">
        <f t="shared" si="427"/>
        <v>1</v>
      </c>
      <c r="BM229" s="128">
        <f t="shared" si="400"/>
        <v>17.805099999999999</v>
      </c>
      <c r="BN229" s="129">
        <f t="shared" si="352"/>
        <v>0</v>
      </c>
      <c r="BR229" s="73">
        <f t="shared" si="428"/>
        <v>0</v>
      </c>
      <c r="BS229" s="73">
        <f t="shared" si="429"/>
        <v>0</v>
      </c>
      <c r="BT229" s="73">
        <f t="shared" si="446"/>
        <v>0</v>
      </c>
      <c r="BU229" s="73">
        <f t="shared" si="447"/>
        <v>6.9123603370412372</v>
      </c>
      <c r="BV229" s="73">
        <f t="shared" si="448"/>
        <v>7.9730508085439302</v>
      </c>
      <c r="BW229" s="73">
        <f t="shared" si="449"/>
        <v>0.32962906758951033</v>
      </c>
      <c r="BX229" s="73">
        <f t="shared" si="450"/>
        <v>0</v>
      </c>
      <c r="BY229" s="73">
        <f t="shared" si="451"/>
        <v>8.1846626100314474E-17</v>
      </c>
      <c r="BZ229" s="74">
        <f t="shared" si="452"/>
        <v>18.258048255809612</v>
      </c>
      <c r="CB229" s="75">
        <f t="shared" si="401"/>
        <v>18.258048255809612</v>
      </c>
      <c r="CE229" s="8"/>
      <c r="CJ229" s="70">
        <f t="shared" si="437"/>
        <v>-2.1094237467877974E-15</v>
      </c>
      <c r="CL229" s="163"/>
      <c r="CM229" s="68"/>
      <c r="CN229" s="20"/>
      <c r="CQ229" s="177">
        <f t="shared" si="402"/>
        <v>14.090971716641125</v>
      </c>
      <c r="CR229" s="177">
        <f t="shared" si="403"/>
        <v>-0.10490000000000066</v>
      </c>
    </row>
    <row r="230" spans="1:96" ht="37.5" x14ac:dyDescent="0.3">
      <c r="B230" s="51" t="s">
        <v>117</v>
      </c>
      <c r="C230" s="76" t="s">
        <v>418</v>
      </c>
      <c r="D230" s="28" t="s">
        <v>330</v>
      </c>
      <c r="E230" s="21" t="s">
        <v>488</v>
      </c>
      <c r="F230" s="21">
        <f t="shared" si="415"/>
        <v>2020</v>
      </c>
      <c r="G230" s="46">
        <f t="shared" si="416"/>
        <v>2025</v>
      </c>
      <c r="H230" s="46">
        <f t="shared" si="417"/>
        <v>2024</v>
      </c>
      <c r="I230" s="22" t="s">
        <v>131</v>
      </c>
      <c r="J230" s="20" t="s">
        <v>131</v>
      </c>
      <c r="K230" s="20">
        <v>0</v>
      </c>
      <c r="L230" s="20">
        <f t="shared" si="335"/>
        <v>43.353833220189387</v>
      </c>
      <c r="M230" s="20">
        <v>3.9014626808821222</v>
      </c>
      <c r="N230" s="20">
        <v>9.5376521539742036</v>
      </c>
      <c r="O230" s="20">
        <v>28.180947365460405</v>
      </c>
      <c r="P230" s="20">
        <v>1.7337710198726533</v>
      </c>
      <c r="Q230" s="20">
        <v>32.374600000000001</v>
      </c>
      <c r="R230" s="20">
        <f t="shared" si="442"/>
        <v>2.9134285097001764</v>
      </c>
      <c r="S230" s="20">
        <f t="shared" si="443"/>
        <v>7.1222692548500879</v>
      </c>
      <c r="T230" s="20">
        <f t="shared" si="444"/>
        <v>21.044203725749558</v>
      </c>
      <c r="U230" s="20">
        <f t="shared" si="445"/>
        <v>1.2946985097001764</v>
      </c>
      <c r="V230" s="20">
        <v>0</v>
      </c>
      <c r="W230" s="20">
        <f t="shared" si="344"/>
        <v>43.353833220189387</v>
      </c>
      <c r="X230" s="20"/>
      <c r="Y230" s="20">
        <f t="shared" si="423"/>
        <v>19.653833220189387</v>
      </c>
      <c r="Z230" s="28"/>
      <c r="AA230" s="20">
        <f t="shared" si="424"/>
        <v>8.0500000000000007</v>
      </c>
      <c r="AB230" s="20">
        <v>0</v>
      </c>
      <c r="AC230" s="20">
        <v>0</v>
      </c>
      <c r="AD230" s="174">
        <v>13.7</v>
      </c>
      <c r="AE230" s="20">
        <v>13.8706</v>
      </c>
      <c r="AF230" s="20">
        <v>10</v>
      </c>
      <c r="AG230" s="20">
        <v>10.454000000000001</v>
      </c>
      <c r="AH230" s="20"/>
      <c r="AI230" s="20"/>
      <c r="AJ230" s="20">
        <v>19.483233220189387</v>
      </c>
      <c r="AK230" s="20"/>
      <c r="AL230" s="20"/>
      <c r="AM230" s="20">
        <v>8.0500000000000007</v>
      </c>
      <c r="AN230" s="20">
        <f t="shared" si="392"/>
        <v>43.183233220189386</v>
      </c>
      <c r="AO230" s="20">
        <f t="shared" si="392"/>
        <v>32.374600000000001</v>
      </c>
      <c r="AP230" s="94" t="s">
        <v>548</v>
      </c>
      <c r="AQ230" s="130"/>
      <c r="AR230" s="85">
        <f t="shared" si="438"/>
        <v>0.17060000000000031</v>
      </c>
      <c r="AS230" s="85">
        <f t="shared" si="439"/>
        <v>0</v>
      </c>
      <c r="AT230" s="113">
        <f t="shared" ref="AT230:AT263" si="454">Q230-L230</f>
        <v>-10.979233220189386</v>
      </c>
      <c r="AV230" s="105">
        <f t="shared" si="453"/>
        <v>0</v>
      </c>
      <c r="AX230" s="31"/>
      <c r="AY230" s="15"/>
      <c r="AZ230" s="118">
        <v>10.454000000000001</v>
      </c>
      <c r="BA230" s="118"/>
      <c r="BB230" s="118"/>
      <c r="BC230" s="118">
        <v>6.052146760343482</v>
      </c>
      <c r="BD230" s="8"/>
      <c r="BE230" s="118">
        <f t="shared" si="409"/>
        <v>0</v>
      </c>
      <c r="BF230" s="118">
        <f t="shared" si="410"/>
        <v>0</v>
      </c>
      <c r="BG230" s="118">
        <f t="shared" si="411"/>
        <v>0</v>
      </c>
      <c r="BH230" s="118">
        <f t="shared" si="412"/>
        <v>1.9978532396565187</v>
      </c>
      <c r="BI230" s="122">
        <f t="shared" si="413"/>
        <v>1.9978532396565187</v>
      </c>
      <c r="BJ230" s="118">
        <f t="shared" si="426"/>
        <v>0</v>
      </c>
      <c r="BK230" s="108">
        <v>2024</v>
      </c>
      <c r="BL230" s="8" t="b">
        <f t="shared" si="427"/>
        <v>1</v>
      </c>
      <c r="BM230" s="128">
        <f t="shared" si="400"/>
        <v>32.374600000000001</v>
      </c>
      <c r="BN230" s="129">
        <f t="shared" si="352"/>
        <v>0</v>
      </c>
      <c r="BR230" s="73">
        <f t="shared" si="428"/>
        <v>0</v>
      </c>
      <c r="BS230" s="73">
        <f t="shared" si="429"/>
        <v>0</v>
      </c>
      <c r="BT230" s="73">
        <f t="shared" si="446"/>
        <v>12.658692518272858</v>
      </c>
      <c r="BU230" s="73">
        <f t="shared" si="447"/>
        <v>9.1527422025597023</v>
      </c>
      <c r="BV230" s="73">
        <f t="shared" si="448"/>
        <v>0</v>
      </c>
      <c r="BW230" s="73">
        <f t="shared" si="449"/>
        <v>0</v>
      </c>
      <c r="BX230" s="73">
        <f t="shared" si="450"/>
        <v>6.1974349767518566</v>
      </c>
      <c r="BY230" s="73">
        <f t="shared" si="451"/>
        <v>0</v>
      </c>
      <c r="BZ230" s="74">
        <f t="shared" si="452"/>
        <v>33.610643637101298</v>
      </c>
      <c r="CB230" s="75">
        <f t="shared" si="401"/>
        <v>33.610643637101298</v>
      </c>
      <c r="CE230" s="8"/>
      <c r="CJ230" s="70">
        <f t="shared" si="437"/>
        <v>2.886579864025407E-15</v>
      </c>
      <c r="CL230" s="163"/>
      <c r="CM230" s="68"/>
      <c r="CN230" s="20">
        <v>13.7</v>
      </c>
      <c r="CQ230" s="177">
        <f t="shared" si="402"/>
        <v>43.807833220189387</v>
      </c>
      <c r="CR230" s="177">
        <f t="shared" si="403"/>
        <v>0.62460000000000093</v>
      </c>
    </row>
    <row r="231" spans="1:96" ht="37.5" x14ac:dyDescent="0.3">
      <c r="B231" s="51" t="s">
        <v>117</v>
      </c>
      <c r="C231" s="76" t="s">
        <v>419</v>
      </c>
      <c r="D231" s="28" t="s">
        <v>331</v>
      </c>
      <c r="E231" s="21" t="s">
        <v>181</v>
      </c>
      <c r="F231" s="21">
        <f t="shared" si="415"/>
        <v>2024</v>
      </c>
      <c r="G231" s="46">
        <f t="shared" si="416"/>
        <v>2023</v>
      </c>
      <c r="H231" s="46">
        <f t="shared" si="417"/>
        <v>2024</v>
      </c>
      <c r="I231" s="22" t="s">
        <v>131</v>
      </c>
      <c r="J231" s="20" t="s">
        <v>131</v>
      </c>
      <c r="K231" s="20">
        <v>0</v>
      </c>
      <c r="L231" s="20">
        <f t="shared" si="335"/>
        <v>4.8683206603563116</v>
      </c>
      <c r="M231" s="20">
        <v>0.43808045794111916</v>
      </c>
      <c r="N231" s="20">
        <v>1.0711051650866965</v>
      </c>
      <c r="O231" s="20">
        <v>3.1645017039919878</v>
      </c>
      <c r="P231" s="20">
        <v>0.19463333333650856</v>
      </c>
      <c r="Q231" s="20">
        <v>3.92</v>
      </c>
      <c r="R231" s="20">
        <f t="shared" si="442"/>
        <v>0.35274492272320862</v>
      </c>
      <c r="S231" s="20">
        <f t="shared" si="443"/>
        <v>0.86246008430195431</v>
      </c>
      <c r="T231" s="20">
        <f t="shared" si="444"/>
        <v>2.5480751053774431</v>
      </c>
      <c r="U231" s="20">
        <f t="shared" si="445"/>
        <v>0.1567198875973943</v>
      </c>
      <c r="V231" s="20">
        <v>0</v>
      </c>
      <c r="W231" s="20">
        <f t="shared" si="344"/>
        <v>4.8683206603563116</v>
      </c>
      <c r="X231" s="20"/>
      <c r="Y231" s="20">
        <f t="shared" si="423"/>
        <v>4.8683206603563116</v>
      </c>
      <c r="Z231" s="28"/>
      <c r="AA231" s="20">
        <f t="shared" si="424"/>
        <v>3.92</v>
      </c>
      <c r="AB231" s="20">
        <v>0</v>
      </c>
      <c r="AC231" s="20">
        <v>0</v>
      </c>
      <c r="AD231" s="20"/>
      <c r="AE231" s="20"/>
      <c r="AF231" s="20"/>
      <c r="AG231" s="20"/>
      <c r="AH231" s="20"/>
      <c r="AI231" s="20"/>
      <c r="AJ231" s="20">
        <v>4.8683206603563116</v>
      </c>
      <c r="AK231" s="20"/>
      <c r="AL231" s="20"/>
      <c r="AM231" s="20">
        <v>3.92</v>
      </c>
      <c r="AN231" s="20">
        <f t="shared" si="392"/>
        <v>4.8683206603563116</v>
      </c>
      <c r="AO231" s="20">
        <f t="shared" si="392"/>
        <v>3.92</v>
      </c>
      <c r="AP231" s="94" t="s">
        <v>548</v>
      </c>
      <c r="AQ231" s="130"/>
      <c r="AR231" s="85">
        <f t="shared" si="438"/>
        <v>0</v>
      </c>
      <c r="AS231" s="85">
        <f t="shared" si="439"/>
        <v>0</v>
      </c>
      <c r="AT231" s="113">
        <f t="shared" si="454"/>
        <v>-0.94832066035631168</v>
      </c>
      <c r="AV231" s="105">
        <f t="shared" si="453"/>
        <v>0</v>
      </c>
      <c r="AX231" s="31"/>
      <c r="AY231" s="15"/>
      <c r="AZ231" s="118"/>
      <c r="BA231" s="118"/>
      <c r="BB231" s="118"/>
      <c r="BC231" s="118">
        <v>9.9658683320322652</v>
      </c>
      <c r="BD231" s="8"/>
      <c r="BE231" s="118">
        <f t="shared" si="409"/>
        <v>0</v>
      </c>
      <c r="BF231" s="118">
        <f t="shared" si="410"/>
        <v>0</v>
      </c>
      <c r="BG231" s="118">
        <f t="shared" si="411"/>
        <v>0</v>
      </c>
      <c r="BH231" s="118">
        <f t="shared" si="412"/>
        <v>-6.0458683320322653</v>
      </c>
      <c r="BI231" s="122">
        <f t="shared" si="413"/>
        <v>-6.0458683320322653</v>
      </c>
      <c r="BJ231" s="118">
        <f t="shared" si="426"/>
        <v>0</v>
      </c>
      <c r="BK231" s="108">
        <v>2024</v>
      </c>
      <c r="BL231" s="8" t="b">
        <f t="shared" si="427"/>
        <v>1</v>
      </c>
      <c r="BM231" s="128">
        <f t="shared" si="400"/>
        <v>3.92</v>
      </c>
      <c r="BN231" s="129">
        <f t="shared" si="352"/>
        <v>0</v>
      </c>
      <c r="BR231" s="73">
        <f t="shared" si="428"/>
        <v>0</v>
      </c>
      <c r="BS231" s="73">
        <f t="shared" si="429"/>
        <v>0</v>
      </c>
      <c r="BT231" s="73">
        <f t="shared" si="446"/>
        <v>0</v>
      </c>
      <c r="BU231" s="73">
        <f t="shared" si="447"/>
        <v>0</v>
      </c>
      <c r="BV231" s="73">
        <f t="shared" si="448"/>
        <v>0</v>
      </c>
      <c r="BW231" s="73">
        <f t="shared" si="449"/>
        <v>0</v>
      </c>
      <c r="BX231" s="73">
        <f t="shared" si="450"/>
        <v>3.0178813799835122</v>
      </c>
      <c r="BY231" s="73">
        <f t="shared" si="451"/>
        <v>0</v>
      </c>
      <c r="BZ231" s="74">
        <f t="shared" si="452"/>
        <v>3.6214576559802145</v>
      </c>
      <c r="CB231" s="75">
        <f t="shared" si="401"/>
        <v>3.6214576559802145</v>
      </c>
      <c r="CE231" s="8"/>
      <c r="CJ231" s="70">
        <f t="shared" si="437"/>
        <v>-2.2204460492503131E-16</v>
      </c>
      <c r="CL231" s="163"/>
      <c r="CM231" s="68"/>
      <c r="CN231" s="20"/>
      <c r="CQ231" s="177">
        <f t="shared" si="402"/>
        <v>4.8683206603563116</v>
      </c>
      <c r="CR231" s="177">
        <f t="shared" si="403"/>
        <v>0</v>
      </c>
    </row>
    <row r="232" spans="1:96" ht="37.5" x14ac:dyDescent="0.3">
      <c r="B232" s="51" t="s">
        <v>117</v>
      </c>
      <c r="C232" s="76" t="s">
        <v>421</v>
      </c>
      <c r="D232" s="28" t="s">
        <v>333</v>
      </c>
      <c r="E232" s="21" t="s">
        <v>181</v>
      </c>
      <c r="F232" s="21">
        <f t="shared" si="415"/>
        <v>2024</v>
      </c>
      <c r="G232" s="46">
        <f t="shared" si="416"/>
        <v>2023</v>
      </c>
      <c r="H232" s="46">
        <f t="shared" si="417"/>
        <v>2024</v>
      </c>
      <c r="I232" s="22" t="s">
        <v>131</v>
      </c>
      <c r="J232" s="20" t="s">
        <v>131</v>
      </c>
      <c r="K232" s="20">
        <v>0</v>
      </c>
      <c r="L232" s="20">
        <f>M232+N232+O232+P232</f>
        <v>4.8683206603563116</v>
      </c>
      <c r="M232" s="20">
        <v>0.43811616419593402</v>
      </c>
      <c r="N232" s="20">
        <v>1.070950623590061</v>
      </c>
      <c r="O232" s="20">
        <v>3.1645355773721238</v>
      </c>
      <c r="P232" s="20">
        <v>0.19471829519819289</v>
      </c>
      <c r="Q232" s="20">
        <v>18.339999999999996</v>
      </c>
      <c r="R232" s="20">
        <f>M232/L232*Q232</f>
        <v>1.6504768300873065</v>
      </c>
      <c r="S232" s="20">
        <f>N232/L232*Q232</f>
        <v>4.0344989179911943</v>
      </c>
      <c r="T232" s="20">
        <f>O232/L232*Q232</f>
        <v>11.921478994104916</v>
      </c>
      <c r="U232" s="20">
        <f>P232/L232*Q232</f>
        <v>0.73354525781658075</v>
      </c>
      <c r="V232" s="20">
        <v>0</v>
      </c>
      <c r="W232" s="20">
        <f>L232-K232</f>
        <v>4.8683206603563116</v>
      </c>
      <c r="X232" s="20"/>
      <c r="Y232" s="20">
        <f>W232-(AB232+AD232+AF232)</f>
        <v>4.8683206603563116</v>
      </c>
      <c r="Z232" s="28"/>
      <c r="AA232" s="20">
        <f>Q232-(K232+AC232+AE232+AG232)</f>
        <v>18.339999999999996</v>
      </c>
      <c r="AB232" s="20">
        <v>0</v>
      </c>
      <c r="AC232" s="20">
        <v>0</v>
      </c>
      <c r="AD232" s="20"/>
      <c r="AE232" s="20"/>
      <c r="AF232" s="20"/>
      <c r="AG232" s="20"/>
      <c r="AH232" s="20"/>
      <c r="AI232" s="20"/>
      <c r="AJ232" s="20">
        <v>4.8683206603563116</v>
      </c>
      <c r="AK232" s="20"/>
      <c r="AL232" s="20"/>
      <c r="AM232" s="20">
        <v>18.339999999999996</v>
      </c>
      <c r="AN232" s="20">
        <f>SUM(AD232+AF232+AH232+AJ232+AL232)</f>
        <v>4.8683206603563116</v>
      </c>
      <c r="AO232" s="20">
        <f>SUM(AE232+AG232+AI232+AK232+AM232)</f>
        <v>18.339999999999996</v>
      </c>
      <c r="AP232" s="94" t="s">
        <v>548</v>
      </c>
      <c r="AQ232" s="130"/>
      <c r="AR232" s="85">
        <f>L232-(K232+AB232+AD232+AF232+AH232+AJ232+AL232)</f>
        <v>0</v>
      </c>
      <c r="AS232" s="85">
        <f>Q232-(K232+AC232+AE232+AG232+AI232+AK232+AM232)</f>
        <v>0</v>
      </c>
      <c r="AT232" s="113">
        <f t="shared" si="454"/>
        <v>13.471679339643686</v>
      </c>
      <c r="AV232" s="105">
        <f t="shared" si="453"/>
        <v>0</v>
      </c>
      <c r="AX232" s="31"/>
      <c r="AY232" s="15"/>
      <c r="AZ232" s="118"/>
      <c r="BA232" s="118"/>
      <c r="BB232" s="118">
        <v>5.0434470663265305</v>
      </c>
      <c r="BC232" s="118">
        <v>16.340796252927401</v>
      </c>
      <c r="BD232" s="8"/>
      <c r="BE232" s="118">
        <f t="shared" si="409"/>
        <v>0</v>
      </c>
      <c r="BF232" s="118">
        <f t="shared" si="410"/>
        <v>0</v>
      </c>
      <c r="BG232" s="118">
        <f t="shared" si="411"/>
        <v>-5.0434470663265305</v>
      </c>
      <c r="BH232" s="118">
        <f t="shared" si="412"/>
        <v>1.9992037470725954</v>
      </c>
      <c r="BI232" s="122">
        <f t="shared" si="413"/>
        <v>-3.0442433192539351</v>
      </c>
      <c r="BJ232" s="118">
        <f t="shared" si="426"/>
        <v>0</v>
      </c>
      <c r="BK232" s="108">
        <v>2024</v>
      </c>
      <c r="BL232" s="8" t="b">
        <f t="shared" si="427"/>
        <v>1</v>
      </c>
      <c r="BM232" s="128">
        <f t="shared" si="400"/>
        <v>18.339999999999996</v>
      </c>
      <c r="BN232" s="129">
        <f t="shared" si="352"/>
        <v>0</v>
      </c>
      <c r="BR232" s="73">
        <f>K232/$BR$15</f>
        <v>0</v>
      </c>
      <c r="BS232" s="73">
        <f>AC232/$BS$15</f>
        <v>0</v>
      </c>
      <c r="BT232" s="73">
        <f>AE232/$BT$15</f>
        <v>0</v>
      </c>
      <c r="BU232" s="73">
        <f>AG232/$BU$15</f>
        <v>0</v>
      </c>
      <c r="BV232" s="73">
        <f>AI232/$BV$15</f>
        <v>0</v>
      </c>
      <c r="BW232" s="73">
        <f>AK232/$BW$15</f>
        <v>0</v>
      </c>
      <c r="BX232" s="73">
        <f>AM232/$BX$15</f>
        <v>14.119373599208572</v>
      </c>
      <c r="BY232" s="73">
        <f>(Q232-K232-AC232-AE232-AG232-AI232-AK232-AM232)/$BY$15</f>
        <v>0</v>
      </c>
      <c r="BZ232" s="74">
        <f>SUM(BR232:BY232)*1.2</f>
        <v>16.943248319050287</v>
      </c>
      <c r="CB232" s="75">
        <f>((Q232-(K232+AC232+AE232+AG232+AI232+AK232+AM232))/$BY$15+K232/$BR$15+AC232/$BS$15+AE232/$BT$15+AG232/$BU$15+AI232/$BV$15+AK232/$BW$15+AM232/$BX$15)*1.2</f>
        <v>16.943248319050287</v>
      </c>
      <c r="CE232" s="8"/>
      <c r="CJ232" s="70">
        <f>Q232-R232-S232-T232-U232</f>
        <v>0</v>
      </c>
      <c r="CL232" s="163"/>
      <c r="CM232" s="68"/>
      <c r="CN232" s="20"/>
      <c r="CQ232" s="177">
        <f t="shared" si="402"/>
        <v>4.8683206603563116</v>
      </c>
      <c r="CR232" s="177">
        <f t="shared" si="403"/>
        <v>0</v>
      </c>
    </row>
    <row r="233" spans="1:96" ht="37.5" x14ac:dyDescent="0.3">
      <c r="B233" s="51" t="s">
        <v>117</v>
      </c>
      <c r="C233" s="76" t="s">
        <v>420</v>
      </c>
      <c r="D233" s="28" t="s">
        <v>332</v>
      </c>
      <c r="E233" s="21" t="s">
        <v>181</v>
      </c>
      <c r="F233" s="21">
        <f t="shared" si="415"/>
        <v>2021</v>
      </c>
      <c r="G233" s="46">
        <f t="shared" si="416"/>
        <v>2024</v>
      </c>
      <c r="H233" s="46">
        <f t="shared" si="417"/>
        <v>2024</v>
      </c>
      <c r="I233" s="22" t="s">
        <v>131</v>
      </c>
      <c r="J233" s="20" t="s">
        <v>131</v>
      </c>
      <c r="K233" s="20">
        <v>0</v>
      </c>
      <c r="L233" s="20">
        <f t="shared" si="335"/>
        <v>42.309389152775353</v>
      </c>
      <c r="M233" s="20">
        <v>3.8077069382760458</v>
      </c>
      <c r="N233" s="20">
        <v>9.3078239640315399</v>
      </c>
      <c r="O233" s="20">
        <v>27.501448162988321</v>
      </c>
      <c r="P233" s="20">
        <v>1.6924100874794483</v>
      </c>
      <c r="Q233" s="20">
        <v>48.357500000000002</v>
      </c>
      <c r="R233" s="20">
        <f t="shared" si="442"/>
        <v>4.3520171752610972</v>
      </c>
      <c r="S233" s="20">
        <f t="shared" si="443"/>
        <v>10.638373806706921</v>
      </c>
      <c r="T233" s="20">
        <f t="shared" si="444"/>
        <v>31.432769561847259</v>
      </c>
      <c r="U233" s="20">
        <f t="shared" si="445"/>
        <v>1.934339456184726</v>
      </c>
      <c r="V233" s="20">
        <v>0</v>
      </c>
      <c r="W233" s="20">
        <f t="shared" si="344"/>
        <v>42.309389152775353</v>
      </c>
      <c r="X233" s="20"/>
      <c r="Y233" s="20">
        <f t="shared" si="423"/>
        <v>39.809389152775353</v>
      </c>
      <c r="Z233" s="28"/>
      <c r="AA233" s="20">
        <f t="shared" si="424"/>
        <v>45.56</v>
      </c>
      <c r="AB233" s="20">
        <v>0</v>
      </c>
      <c r="AC233" s="20">
        <v>0</v>
      </c>
      <c r="AD233" s="20"/>
      <c r="AE233" s="20"/>
      <c r="AF233" s="20">
        <v>2.5</v>
      </c>
      <c r="AG233" s="20">
        <v>2.7974999999999999</v>
      </c>
      <c r="AH233" s="20"/>
      <c r="AI233" s="20"/>
      <c r="AJ233" s="20">
        <v>4.8683206603563116</v>
      </c>
      <c r="AK233" s="20">
        <f>32.51+5</f>
        <v>37.51</v>
      </c>
      <c r="AL233" s="20">
        <v>34.941068492419042</v>
      </c>
      <c r="AM233" s="20">
        <v>8.0500000000000007</v>
      </c>
      <c r="AN233" s="20">
        <f t="shared" si="392"/>
        <v>42.309389152775353</v>
      </c>
      <c r="AO233" s="20">
        <f t="shared" si="392"/>
        <v>48.357500000000002</v>
      </c>
      <c r="AP233" s="94" t="s">
        <v>548</v>
      </c>
      <c r="AQ233" s="130"/>
      <c r="AR233" s="85">
        <f t="shared" si="438"/>
        <v>0</v>
      </c>
      <c r="AS233" s="85">
        <f t="shared" si="439"/>
        <v>0</v>
      </c>
      <c r="AT233" s="113">
        <f t="shared" si="454"/>
        <v>6.048110847224649</v>
      </c>
      <c r="AV233" s="105">
        <f t="shared" si="453"/>
        <v>0</v>
      </c>
      <c r="AX233" s="31"/>
      <c r="AY233" s="15"/>
      <c r="AZ233" s="118">
        <v>2.7974999999999999</v>
      </c>
      <c r="BA233" s="118"/>
      <c r="BB233" s="118">
        <v>27.508977678571426</v>
      </c>
      <c r="BC233" s="118">
        <v>6.052146760343482</v>
      </c>
      <c r="BD233" s="8"/>
      <c r="BE233" s="118">
        <f t="shared" si="409"/>
        <v>0</v>
      </c>
      <c r="BF233" s="118">
        <f t="shared" si="410"/>
        <v>0</v>
      </c>
      <c r="BG233" s="118">
        <f t="shared" si="411"/>
        <v>10.001022321428572</v>
      </c>
      <c r="BH233" s="118">
        <f t="shared" si="412"/>
        <v>1.9978532396565187</v>
      </c>
      <c r="BI233" s="122">
        <f t="shared" si="413"/>
        <v>11.998875561085089</v>
      </c>
      <c r="BJ233" s="118">
        <f t="shared" si="426"/>
        <v>0</v>
      </c>
      <c r="BK233" s="108">
        <v>2024</v>
      </c>
      <c r="BL233" s="8" t="b">
        <f t="shared" si="427"/>
        <v>1</v>
      </c>
      <c r="BM233" s="128">
        <f t="shared" si="400"/>
        <v>48.357500000000002</v>
      </c>
      <c r="BN233" s="129">
        <f t="shared" si="352"/>
        <v>0</v>
      </c>
      <c r="BR233" s="73">
        <f t="shared" si="428"/>
        <v>0</v>
      </c>
      <c r="BS233" s="73">
        <f t="shared" si="429"/>
        <v>0</v>
      </c>
      <c r="BT233" s="73">
        <f t="shared" si="446"/>
        <v>0</v>
      </c>
      <c r="BU233" s="73">
        <f t="shared" si="447"/>
        <v>2.4492822184485137</v>
      </c>
      <c r="BV233" s="73">
        <f t="shared" si="448"/>
        <v>0</v>
      </c>
      <c r="BW233" s="73">
        <f t="shared" si="449"/>
        <v>30.157039817762268</v>
      </c>
      <c r="BX233" s="73">
        <f t="shared" si="450"/>
        <v>6.1974349767518566</v>
      </c>
      <c r="BY233" s="73">
        <f t="shared" si="451"/>
        <v>2.6190920352100632E-15</v>
      </c>
      <c r="BZ233" s="74">
        <f t="shared" si="452"/>
        <v>46.564508415555167</v>
      </c>
      <c r="CB233" s="75">
        <f t="shared" si="401"/>
        <v>46.564508415555167</v>
      </c>
      <c r="CE233" s="8"/>
      <c r="CJ233" s="70">
        <f t="shared" si="437"/>
        <v>-2.6645352591003757E-15</v>
      </c>
      <c r="CL233" s="163"/>
      <c r="CM233" s="68"/>
      <c r="CN233" s="20"/>
      <c r="CQ233" s="177">
        <f t="shared" si="402"/>
        <v>42.606889152775352</v>
      </c>
      <c r="CR233" s="177">
        <f t="shared" si="403"/>
        <v>0.29749999999999943</v>
      </c>
    </row>
    <row r="234" spans="1:96" ht="37.5" x14ac:dyDescent="0.3">
      <c r="B234" s="51" t="s">
        <v>117</v>
      </c>
      <c r="C234" s="76" t="s">
        <v>422</v>
      </c>
      <c r="D234" s="28" t="s">
        <v>334</v>
      </c>
      <c r="E234" s="21" t="s">
        <v>488</v>
      </c>
      <c r="F234" s="21">
        <f t="shared" si="415"/>
        <v>2020</v>
      </c>
      <c r="G234" s="46">
        <f t="shared" si="416"/>
        <v>2025</v>
      </c>
      <c r="H234" s="46">
        <f t="shared" si="417"/>
        <v>2024</v>
      </c>
      <c r="I234" s="22" t="s">
        <v>131</v>
      </c>
      <c r="J234" s="20" t="s">
        <v>131</v>
      </c>
      <c r="K234" s="20">
        <v>0</v>
      </c>
      <c r="L234" s="20">
        <f t="shared" si="335"/>
        <v>9.8613999999999997</v>
      </c>
      <c r="M234" s="20">
        <v>0.88745825509503096</v>
      </c>
      <c r="N234" s="20">
        <v>2.1693424013434091</v>
      </c>
      <c r="O234" s="20">
        <v>6.4101734524082135</v>
      </c>
      <c r="P234" s="20">
        <v>0.39442589115334714</v>
      </c>
      <c r="Q234" s="20">
        <v>9.9596</v>
      </c>
      <c r="R234" s="20">
        <f t="shared" si="442"/>
        <v>0.89629558049003899</v>
      </c>
      <c r="S234" s="20">
        <f t="shared" si="443"/>
        <v>2.190944752308984</v>
      </c>
      <c r="T234" s="20">
        <f t="shared" si="444"/>
        <v>6.4740060758720714</v>
      </c>
      <c r="U234" s="20">
        <f t="shared" si="445"/>
        <v>0.39835359132890624</v>
      </c>
      <c r="V234" s="20">
        <v>0</v>
      </c>
      <c r="W234" s="20">
        <f t="shared" si="344"/>
        <v>9.8613999999999997</v>
      </c>
      <c r="X234" s="20"/>
      <c r="Y234" s="20">
        <f t="shared" si="423"/>
        <v>0.16140000000000043</v>
      </c>
      <c r="Z234" s="28"/>
      <c r="AA234" s="20">
        <f t="shared" si="424"/>
        <v>0.40000000000000036</v>
      </c>
      <c r="AB234" s="20">
        <v>0</v>
      </c>
      <c r="AC234" s="20">
        <v>0</v>
      </c>
      <c r="AD234" s="174">
        <v>5.7</v>
      </c>
      <c r="AE234" s="20">
        <v>5.8613999999999997</v>
      </c>
      <c r="AF234" s="20">
        <v>4</v>
      </c>
      <c r="AG234" s="20">
        <v>3.6981999999999999</v>
      </c>
      <c r="AH234" s="20"/>
      <c r="AI234" s="20"/>
      <c r="AJ234" s="20"/>
      <c r="AK234" s="20"/>
      <c r="AL234" s="20"/>
      <c r="AM234" s="20">
        <v>0.4</v>
      </c>
      <c r="AN234" s="20">
        <f t="shared" si="392"/>
        <v>9.6999999999999993</v>
      </c>
      <c r="AO234" s="20">
        <f t="shared" si="392"/>
        <v>9.9596</v>
      </c>
      <c r="AP234" s="94" t="s">
        <v>548</v>
      </c>
      <c r="AQ234" s="130"/>
      <c r="AR234" s="85">
        <f t="shared" si="438"/>
        <v>0.16140000000000043</v>
      </c>
      <c r="AS234" s="85">
        <f t="shared" si="439"/>
        <v>0</v>
      </c>
      <c r="AT234" s="113">
        <f t="shared" si="454"/>
        <v>9.8200000000000287E-2</v>
      </c>
      <c r="AV234" s="105">
        <f t="shared" si="453"/>
        <v>0</v>
      </c>
      <c r="AX234" s="31"/>
      <c r="AY234" s="15"/>
      <c r="AZ234" s="118">
        <v>3.6981999999999999</v>
      </c>
      <c r="BA234" s="118"/>
      <c r="BB234" s="118"/>
      <c r="BC234" s="118">
        <v>0.35304189435336975</v>
      </c>
      <c r="BD234" s="8"/>
      <c r="BE234" s="118">
        <f t="shared" si="409"/>
        <v>0</v>
      </c>
      <c r="BF234" s="118">
        <f t="shared" si="410"/>
        <v>0</v>
      </c>
      <c r="BG234" s="118">
        <f t="shared" si="411"/>
        <v>0</v>
      </c>
      <c r="BH234" s="118">
        <f t="shared" si="412"/>
        <v>4.6958105646630277E-2</v>
      </c>
      <c r="BI234" s="122">
        <f t="shared" si="413"/>
        <v>4.6958105646630277E-2</v>
      </c>
      <c r="BJ234" s="118">
        <f t="shared" si="426"/>
        <v>0</v>
      </c>
      <c r="BK234" s="108">
        <v>2024</v>
      </c>
      <c r="BL234" s="8" t="b">
        <f t="shared" si="427"/>
        <v>1</v>
      </c>
      <c r="BM234" s="128">
        <f t="shared" si="400"/>
        <v>9.9596</v>
      </c>
      <c r="BN234" s="129">
        <f t="shared" si="352"/>
        <v>0</v>
      </c>
      <c r="BR234" s="73">
        <f t="shared" si="428"/>
        <v>0</v>
      </c>
      <c r="BS234" s="73">
        <f t="shared" si="429"/>
        <v>0</v>
      </c>
      <c r="BT234" s="73">
        <f t="shared" si="446"/>
        <v>5.3492754694537021</v>
      </c>
      <c r="BU234" s="73">
        <f t="shared" si="447"/>
        <v>3.2378679178789254</v>
      </c>
      <c r="BV234" s="73">
        <f t="shared" si="448"/>
        <v>0</v>
      </c>
      <c r="BW234" s="73">
        <f t="shared" si="449"/>
        <v>0</v>
      </c>
      <c r="BX234" s="73">
        <f t="shared" si="450"/>
        <v>0.30794707959015433</v>
      </c>
      <c r="BY234" s="73">
        <f t="shared" si="451"/>
        <v>2.4553987830094341E-16</v>
      </c>
      <c r="BZ234" s="74">
        <f t="shared" si="452"/>
        <v>10.674108560307337</v>
      </c>
      <c r="CB234" s="75">
        <f t="shared" si="401"/>
        <v>10.674108560307337</v>
      </c>
      <c r="CE234" s="8"/>
      <c r="CJ234" s="70">
        <f t="shared" si="437"/>
        <v>0</v>
      </c>
      <c r="CL234" s="163"/>
      <c r="CM234" s="68"/>
      <c r="CN234" s="20">
        <v>5.7</v>
      </c>
      <c r="CQ234" s="177">
        <f t="shared" si="402"/>
        <v>9.5595999999999997</v>
      </c>
      <c r="CR234" s="177">
        <f t="shared" si="403"/>
        <v>-0.14039999999999964</v>
      </c>
    </row>
    <row r="235" spans="1:96" ht="37.5" x14ac:dyDescent="0.3">
      <c r="B235" s="51" t="s">
        <v>117</v>
      </c>
      <c r="C235" s="76" t="s">
        <v>423</v>
      </c>
      <c r="D235" s="28" t="s">
        <v>335</v>
      </c>
      <c r="E235" s="21" t="s">
        <v>487</v>
      </c>
      <c r="F235" s="21">
        <f t="shared" si="415"/>
        <v>2020</v>
      </c>
      <c r="G235" s="46" t="str">
        <f t="shared" si="416"/>
        <v>Ошибка в +</v>
      </c>
      <c r="H235" s="46">
        <f t="shared" si="417"/>
        <v>2020</v>
      </c>
      <c r="I235" s="22" t="s">
        <v>131</v>
      </c>
      <c r="J235" s="20">
        <f>Q235</f>
        <v>25.4026</v>
      </c>
      <c r="K235" s="20">
        <v>0</v>
      </c>
      <c r="L235" s="20">
        <f t="shared" ref="L235:L263" si="455">M235+N235+O235+P235</f>
        <v>25.4026</v>
      </c>
      <c r="M235" s="20">
        <v>2.2860074222731903</v>
      </c>
      <c r="N235" s="20">
        <v>5.5883777905198766</v>
      </c>
      <c r="O235" s="20">
        <v>16.511851841233433</v>
      </c>
      <c r="P235" s="20">
        <v>1.0163629459734964</v>
      </c>
      <c r="Q235" s="20">
        <v>25.4026</v>
      </c>
      <c r="R235" s="20">
        <f t="shared" si="442"/>
        <v>2.2860074222731903</v>
      </c>
      <c r="S235" s="20">
        <f t="shared" si="443"/>
        <v>5.5883777905198766</v>
      </c>
      <c r="T235" s="20">
        <f t="shared" si="444"/>
        <v>16.511851841233433</v>
      </c>
      <c r="U235" s="20">
        <f t="shared" si="445"/>
        <v>1.0163629459734964</v>
      </c>
      <c r="V235" s="20">
        <v>0</v>
      </c>
      <c r="W235" s="20">
        <f t="shared" si="344"/>
        <v>25.4026</v>
      </c>
      <c r="X235" s="20"/>
      <c r="Y235" s="20">
        <f t="shared" si="423"/>
        <v>-5.997399999999999</v>
      </c>
      <c r="Z235" s="28"/>
      <c r="AA235" s="20">
        <f t="shared" si="424"/>
        <v>0</v>
      </c>
      <c r="AB235" s="20">
        <v>0</v>
      </c>
      <c r="AC235" s="20">
        <v>0</v>
      </c>
      <c r="AD235" s="174">
        <v>31.4</v>
      </c>
      <c r="AE235" s="20">
        <v>25.4026</v>
      </c>
      <c r="AF235" s="20"/>
      <c r="AG235" s="20"/>
      <c r="AH235" s="20"/>
      <c r="AI235" s="20"/>
      <c r="AJ235" s="20"/>
      <c r="AK235" s="20"/>
      <c r="AL235" s="20"/>
      <c r="AM235" s="20"/>
      <c r="AN235" s="20">
        <f t="shared" ref="AN235:AN263" si="456">SUM(AD235+AF235+AH235+AJ235+AL235)</f>
        <v>31.4</v>
      </c>
      <c r="AO235" s="20">
        <f t="shared" ref="AO235:AO263" si="457">SUM(AE235+AG235+AI235+AK235+AM235)</f>
        <v>25.4026</v>
      </c>
      <c r="AP235" s="94"/>
      <c r="AQ235" s="130"/>
      <c r="AR235" s="85">
        <f t="shared" si="438"/>
        <v>-5.997399999999999</v>
      </c>
      <c r="AS235" s="85">
        <f t="shared" si="439"/>
        <v>0</v>
      </c>
      <c r="AT235" s="113">
        <f t="shared" si="454"/>
        <v>0</v>
      </c>
      <c r="AV235" s="105">
        <f t="shared" si="453"/>
        <v>0</v>
      </c>
      <c r="AX235" s="31">
        <f>J235-Q235</f>
        <v>0</v>
      </c>
      <c r="AY235" s="15"/>
      <c r="AZ235" s="118"/>
      <c r="BA235" s="118"/>
      <c r="BB235" s="118"/>
      <c r="BC235" s="118"/>
      <c r="BD235" s="8"/>
      <c r="BE235" s="118">
        <f t="shared" si="409"/>
        <v>0</v>
      </c>
      <c r="BF235" s="118">
        <f t="shared" si="410"/>
        <v>0</v>
      </c>
      <c r="BG235" s="118">
        <f t="shared" si="411"/>
        <v>0</v>
      </c>
      <c r="BH235" s="118">
        <f t="shared" si="412"/>
        <v>0</v>
      </c>
      <c r="BI235" s="122">
        <f t="shared" si="413"/>
        <v>0</v>
      </c>
      <c r="BJ235" s="118">
        <f t="shared" si="426"/>
        <v>0</v>
      </c>
      <c r="BK235" s="108">
        <v>2020</v>
      </c>
      <c r="BL235" s="8" t="b">
        <f t="shared" si="427"/>
        <v>1</v>
      </c>
      <c r="BM235" s="128">
        <f t="shared" si="400"/>
        <v>25.4026</v>
      </c>
      <c r="BN235" s="129">
        <f t="shared" si="352"/>
        <v>0</v>
      </c>
      <c r="BR235" s="73">
        <f t="shared" si="428"/>
        <v>0</v>
      </c>
      <c r="BS235" s="73">
        <f t="shared" si="429"/>
        <v>0</v>
      </c>
      <c r="BT235" s="73">
        <f t="shared" si="446"/>
        <v>23.183114109315969</v>
      </c>
      <c r="BU235" s="73">
        <f t="shared" si="447"/>
        <v>0</v>
      </c>
      <c r="BV235" s="73">
        <f t="shared" si="448"/>
        <v>0</v>
      </c>
      <c r="BW235" s="73">
        <f t="shared" si="449"/>
        <v>0</v>
      </c>
      <c r="BX235" s="73">
        <f t="shared" si="450"/>
        <v>0</v>
      </c>
      <c r="BY235" s="73">
        <f t="shared" si="451"/>
        <v>0</v>
      </c>
      <c r="BZ235" s="74">
        <f t="shared" si="452"/>
        <v>27.819736931179161</v>
      </c>
      <c r="CB235" s="75">
        <f t="shared" si="401"/>
        <v>27.819736931179161</v>
      </c>
      <c r="CE235" s="8"/>
      <c r="CJ235" s="70">
        <f t="shared" si="437"/>
        <v>4.8849813083506888E-15</v>
      </c>
      <c r="CL235" s="163"/>
      <c r="CM235" s="68"/>
      <c r="CN235" s="20">
        <v>31.393000000000001</v>
      </c>
      <c r="CQ235" s="177">
        <f t="shared" si="402"/>
        <v>25.4026</v>
      </c>
      <c r="CR235" s="177">
        <f t="shared" si="403"/>
        <v>-5.997399999999999</v>
      </c>
    </row>
    <row r="236" spans="1:96" s="8" customFormat="1" ht="66" x14ac:dyDescent="0.3">
      <c r="A236" s="44"/>
      <c r="B236" s="51" t="s">
        <v>117</v>
      </c>
      <c r="C236" s="136" t="s">
        <v>532</v>
      </c>
      <c r="D236" s="138" t="s">
        <v>533</v>
      </c>
      <c r="E236" s="27" t="s">
        <v>181</v>
      </c>
      <c r="F236" s="21">
        <f t="shared" si="415"/>
        <v>2022</v>
      </c>
      <c r="G236" s="46" t="str">
        <f t="shared" si="416"/>
        <v>нд</v>
      </c>
      <c r="H236" s="46">
        <f t="shared" si="417"/>
        <v>2024</v>
      </c>
      <c r="I236" s="22" t="s">
        <v>131</v>
      </c>
      <c r="J236" s="20" t="s">
        <v>131</v>
      </c>
      <c r="K236" s="20">
        <v>0</v>
      </c>
      <c r="L236" s="20">
        <f>M236+N236+O236+P236</f>
        <v>0</v>
      </c>
      <c r="M236" s="20">
        <v>0</v>
      </c>
      <c r="N236" s="20">
        <v>0</v>
      </c>
      <c r="O236" s="20">
        <v>0</v>
      </c>
      <c r="P236" s="20">
        <v>0</v>
      </c>
      <c r="Q236" s="20">
        <v>209.58756</v>
      </c>
      <c r="R236" s="20">
        <f>0.09*Q236</f>
        <v>18.862880399999998</v>
      </c>
      <c r="S236" s="20">
        <f>0.22*Q236</f>
        <v>46.109263200000001</v>
      </c>
      <c r="T236" s="20">
        <f>0.65*Q236</f>
        <v>136.23191399999999</v>
      </c>
      <c r="U236" s="20">
        <f>0.04*Q236</f>
        <v>8.3835023999999994</v>
      </c>
      <c r="V236" s="20">
        <v>0</v>
      </c>
      <c r="W236" s="20">
        <f t="shared" si="344"/>
        <v>0</v>
      </c>
      <c r="X236" s="20"/>
      <c r="Y236" s="20">
        <f t="shared" si="423"/>
        <v>0</v>
      </c>
      <c r="Z236" s="28"/>
      <c r="AA236" s="20">
        <f t="shared" si="424"/>
        <v>209.58756</v>
      </c>
      <c r="AB236" s="20">
        <v>0</v>
      </c>
      <c r="AC236" s="20">
        <v>0</v>
      </c>
      <c r="AD236" s="107">
        <v>0</v>
      </c>
      <c r="AE236" s="20"/>
      <c r="AF236" s="20"/>
      <c r="AG236" s="20"/>
      <c r="AH236" s="20"/>
      <c r="AI236" s="20">
        <v>44.4786</v>
      </c>
      <c r="AJ236" s="20"/>
      <c r="AK236" s="20">
        <v>65.059999999999988</v>
      </c>
      <c r="AL236" s="20"/>
      <c r="AM236" s="20">
        <v>100.04896000000001</v>
      </c>
      <c r="AN236" s="20">
        <f t="shared" ref="AN236" si="458">SUM(AD236+AF236+AH236+AJ236+AL236)</f>
        <v>0</v>
      </c>
      <c r="AO236" s="20">
        <f t="shared" si="457"/>
        <v>209.58756</v>
      </c>
      <c r="AP236" s="94" t="s">
        <v>557</v>
      </c>
      <c r="AQ236" s="130"/>
      <c r="AR236" s="85">
        <f t="shared" si="438"/>
        <v>0</v>
      </c>
      <c r="AS236" s="85">
        <f t="shared" si="439"/>
        <v>0</v>
      </c>
      <c r="AT236" s="113">
        <f t="shared" si="454"/>
        <v>209.58756</v>
      </c>
      <c r="AV236" s="105">
        <f t="shared" si="453"/>
        <v>0</v>
      </c>
      <c r="AX236" s="31"/>
      <c r="AY236" s="166"/>
      <c r="AZ236" s="118"/>
      <c r="BA236" s="118">
        <v>44.269999999999996</v>
      </c>
      <c r="BB236" s="118">
        <v>62.95539999999999</v>
      </c>
      <c r="BC236" s="118">
        <v>58.381435294117651</v>
      </c>
      <c r="BE236" s="118">
        <f t="shared" si="409"/>
        <v>0</v>
      </c>
      <c r="BF236" s="118">
        <f t="shared" si="410"/>
        <v>0.20860000000000412</v>
      </c>
      <c r="BG236" s="118">
        <f t="shared" si="411"/>
        <v>2.1045999999999978</v>
      </c>
      <c r="BH236" s="118">
        <f t="shared" si="412"/>
        <v>41.667524705882357</v>
      </c>
      <c r="BI236" s="122">
        <f t="shared" si="413"/>
        <v>43.980724705882359</v>
      </c>
      <c r="BJ236" s="118">
        <f t="shared" si="426"/>
        <v>0</v>
      </c>
      <c r="BK236" s="44">
        <v>2024</v>
      </c>
      <c r="BL236" s="8" t="b">
        <f t="shared" si="427"/>
        <v>1</v>
      </c>
      <c r="BM236" s="128">
        <f t="shared" si="400"/>
        <v>209.58756</v>
      </c>
      <c r="BN236" s="129">
        <f t="shared" si="352"/>
        <v>0</v>
      </c>
      <c r="BR236" s="86">
        <f t="shared" si="428"/>
        <v>0</v>
      </c>
      <c r="BS236" s="86">
        <f t="shared" si="429"/>
        <v>0</v>
      </c>
      <c r="BT236" s="86">
        <f t="shared" si="446"/>
        <v>0</v>
      </c>
      <c r="BU236" s="86">
        <f t="shared" si="447"/>
        <v>0</v>
      </c>
      <c r="BV236" s="86">
        <f t="shared" si="448"/>
        <v>37.329488178200215</v>
      </c>
      <c r="BW236" s="86">
        <f t="shared" si="449"/>
        <v>52.306505213106185</v>
      </c>
      <c r="BX236" s="86">
        <f t="shared" si="450"/>
        <v>77.024462620080428</v>
      </c>
      <c r="BY236" s="86">
        <f t="shared" si="451"/>
        <v>0</v>
      </c>
      <c r="BZ236" s="87">
        <f>SUM(BR236:BY236)*1.2</f>
        <v>199.99254721366418</v>
      </c>
      <c r="CB236" s="75">
        <f t="shared" si="401"/>
        <v>199.99254721366418</v>
      </c>
      <c r="CJ236" s="70">
        <f t="shared" si="437"/>
        <v>2.6645352591003757E-14</v>
      </c>
      <c r="CK236" s="166"/>
      <c r="CL236" s="163"/>
      <c r="CM236" s="68"/>
      <c r="CN236" s="20"/>
      <c r="CQ236" s="177">
        <f t="shared" si="402"/>
        <v>0</v>
      </c>
      <c r="CR236" s="177">
        <f t="shared" si="403"/>
        <v>0</v>
      </c>
    </row>
    <row r="237" spans="1:96" ht="56.25" x14ac:dyDescent="0.3">
      <c r="B237" s="51" t="s">
        <v>117</v>
      </c>
      <c r="C237" s="76" t="s">
        <v>424</v>
      </c>
      <c r="D237" s="28" t="s">
        <v>336</v>
      </c>
      <c r="E237" s="21" t="s">
        <v>487</v>
      </c>
      <c r="F237" s="21">
        <f t="shared" si="415"/>
        <v>2020</v>
      </c>
      <c r="G237" s="46" t="str">
        <f t="shared" si="416"/>
        <v>Ошибка в +</v>
      </c>
      <c r="H237" s="46">
        <f t="shared" si="417"/>
        <v>2020</v>
      </c>
      <c r="I237" s="22" t="s">
        <v>131</v>
      </c>
      <c r="J237" s="20">
        <f t="shared" ref="J237:J251" si="459">Q237</f>
        <v>1.421</v>
      </c>
      <c r="K237" s="20">
        <v>0</v>
      </c>
      <c r="L237" s="20">
        <f t="shared" si="455"/>
        <v>1.421</v>
      </c>
      <c r="M237" s="20">
        <v>0.1279200105596621</v>
      </c>
      <c r="N237" s="20">
        <v>0.31260999648011267</v>
      </c>
      <c r="O237" s="20">
        <v>0.92357497360084495</v>
      </c>
      <c r="P237" s="20">
        <v>5.689501935938051E-2</v>
      </c>
      <c r="Q237" s="20">
        <v>1.421</v>
      </c>
      <c r="R237" s="20">
        <f t="shared" si="442"/>
        <v>0.1279200105596621</v>
      </c>
      <c r="S237" s="20">
        <f t="shared" si="443"/>
        <v>0.31260999648011267</v>
      </c>
      <c r="T237" s="20">
        <f t="shared" si="444"/>
        <v>0.92357497360084495</v>
      </c>
      <c r="U237" s="20">
        <f t="shared" si="445"/>
        <v>5.689501935938051E-2</v>
      </c>
      <c r="V237" s="20">
        <v>0</v>
      </c>
      <c r="W237" s="20">
        <f t="shared" si="344"/>
        <v>1.421</v>
      </c>
      <c r="X237" s="20"/>
      <c r="Y237" s="20">
        <f t="shared" si="423"/>
        <v>-7.8999999999999959E-2</v>
      </c>
      <c r="Z237" s="28"/>
      <c r="AA237" s="20">
        <f t="shared" si="424"/>
        <v>0</v>
      </c>
      <c r="AB237" s="20">
        <v>0</v>
      </c>
      <c r="AC237" s="20">
        <v>0</v>
      </c>
      <c r="AD237" s="174">
        <v>1.5</v>
      </c>
      <c r="AE237" s="20">
        <v>1.421</v>
      </c>
      <c r="AF237" s="20"/>
      <c r="AG237" s="20"/>
      <c r="AH237" s="20"/>
      <c r="AI237" s="20"/>
      <c r="AJ237" s="20"/>
      <c r="AK237" s="20"/>
      <c r="AL237" s="20"/>
      <c r="AM237" s="20"/>
      <c r="AN237" s="20">
        <f t="shared" si="456"/>
        <v>1.5</v>
      </c>
      <c r="AO237" s="20">
        <f t="shared" si="457"/>
        <v>1.421</v>
      </c>
      <c r="AP237" s="94"/>
      <c r="AQ237" s="86"/>
      <c r="AR237" s="85">
        <f t="shared" si="438"/>
        <v>-7.8999999999999959E-2</v>
      </c>
      <c r="AS237" s="85">
        <f t="shared" si="439"/>
        <v>0</v>
      </c>
      <c r="AT237" s="113">
        <f t="shared" si="454"/>
        <v>0</v>
      </c>
      <c r="AV237" s="105">
        <f t="shared" si="453"/>
        <v>0</v>
      </c>
      <c r="AX237" s="31">
        <f t="shared" ref="AX237:AX251" si="460">J237-Q237</f>
        <v>0</v>
      </c>
      <c r="AY237" s="15"/>
      <c r="AZ237" s="118"/>
      <c r="BA237" s="118"/>
      <c r="BB237" s="118"/>
      <c r="BC237" s="118"/>
      <c r="BD237" s="8"/>
      <c r="BE237" s="118">
        <f t="shared" si="409"/>
        <v>0</v>
      </c>
      <c r="BF237" s="118">
        <f t="shared" si="410"/>
        <v>0</v>
      </c>
      <c r="BG237" s="118">
        <f t="shared" si="411"/>
        <v>0</v>
      </c>
      <c r="BH237" s="118">
        <f t="shared" si="412"/>
        <v>0</v>
      </c>
      <c r="BI237" s="122">
        <f t="shared" si="413"/>
        <v>0</v>
      </c>
      <c r="BJ237" s="118">
        <f t="shared" si="426"/>
        <v>0</v>
      </c>
      <c r="BK237" s="108">
        <v>2020</v>
      </c>
      <c r="BL237" s="8" t="b">
        <f t="shared" si="427"/>
        <v>1</v>
      </c>
      <c r="BM237" s="128">
        <f t="shared" si="400"/>
        <v>1.421</v>
      </c>
      <c r="BN237" s="129">
        <f t="shared" si="352"/>
        <v>0</v>
      </c>
      <c r="BR237" s="73">
        <f t="shared" si="428"/>
        <v>0</v>
      </c>
      <c r="BS237" s="73">
        <f t="shared" si="429"/>
        <v>0</v>
      </c>
      <c r="BT237" s="73">
        <f t="shared" si="446"/>
        <v>1.2968438328886804</v>
      </c>
      <c r="BU237" s="73">
        <f t="shared" si="447"/>
        <v>0</v>
      </c>
      <c r="BV237" s="73">
        <f t="shared" si="448"/>
        <v>0</v>
      </c>
      <c r="BW237" s="73">
        <f t="shared" si="449"/>
        <v>0</v>
      </c>
      <c r="BX237" s="73">
        <f t="shared" si="450"/>
        <v>0</v>
      </c>
      <c r="BY237" s="73">
        <f t="shared" si="451"/>
        <v>0</v>
      </c>
      <c r="BZ237" s="74">
        <f t="shared" si="452"/>
        <v>1.5562125994664164</v>
      </c>
      <c r="CB237" s="75">
        <f t="shared" si="401"/>
        <v>1.5562125994664164</v>
      </c>
      <c r="CE237" s="8"/>
      <c r="CJ237" s="70">
        <f t="shared" si="437"/>
        <v>-1.5959455978986625E-16</v>
      </c>
      <c r="CL237" s="163"/>
      <c r="CM237" s="68"/>
      <c r="CN237" s="20">
        <v>1.5229999999999999</v>
      </c>
      <c r="CQ237" s="177">
        <f t="shared" si="402"/>
        <v>1.421</v>
      </c>
      <c r="CR237" s="177">
        <f t="shared" si="403"/>
        <v>-7.8999999999999959E-2</v>
      </c>
    </row>
    <row r="238" spans="1:96" ht="56.25" x14ac:dyDescent="0.3">
      <c r="B238" s="51" t="s">
        <v>117</v>
      </c>
      <c r="C238" s="76" t="s">
        <v>425</v>
      </c>
      <c r="D238" s="28" t="s">
        <v>337</v>
      </c>
      <c r="E238" s="21" t="s">
        <v>487</v>
      </c>
      <c r="F238" s="21">
        <f t="shared" si="415"/>
        <v>2020</v>
      </c>
      <c r="G238" s="46" t="str">
        <f t="shared" si="416"/>
        <v>Ошибка в +</v>
      </c>
      <c r="H238" s="46">
        <f t="shared" si="417"/>
        <v>2020</v>
      </c>
      <c r="I238" s="22" t="s">
        <v>131</v>
      </c>
      <c r="J238" s="20">
        <f t="shared" si="459"/>
        <v>1.5984</v>
      </c>
      <c r="K238" s="20">
        <v>0</v>
      </c>
      <c r="L238" s="20">
        <f t="shared" si="455"/>
        <v>1.5984000000000003</v>
      </c>
      <c r="M238" s="20">
        <v>0.14390287390029327</v>
      </c>
      <c r="N238" s="20">
        <v>0.35155425219941355</v>
      </c>
      <c r="O238" s="20">
        <v>1.0389600000000001</v>
      </c>
      <c r="P238" s="20">
        <v>6.3982873900293266E-2</v>
      </c>
      <c r="Q238" s="20">
        <v>1.5984</v>
      </c>
      <c r="R238" s="20">
        <f t="shared" si="442"/>
        <v>0.14390287390029324</v>
      </c>
      <c r="S238" s="20">
        <f t="shared" si="443"/>
        <v>0.3515542521994135</v>
      </c>
      <c r="T238" s="20">
        <f t="shared" si="444"/>
        <v>1.0389599999999999</v>
      </c>
      <c r="U238" s="20">
        <f t="shared" si="445"/>
        <v>6.3982873900293266E-2</v>
      </c>
      <c r="V238" s="20">
        <v>0</v>
      </c>
      <c r="W238" s="20">
        <f t="shared" si="344"/>
        <v>1.5984000000000003</v>
      </c>
      <c r="X238" s="20"/>
      <c r="Y238" s="20">
        <f t="shared" si="423"/>
        <v>-0.10159999999999969</v>
      </c>
      <c r="Z238" s="28"/>
      <c r="AA238" s="20">
        <f t="shared" si="424"/>
        <v>0</v>
      </c>
      <c r="AB238" s="20">
        <v>0</v>
      </c>
      <c r="AC238" s="20">
        <v>0</v>
      </c>
      <c r="AD238" s="174">
        <v>1.7</v>
      </c>
      <c r="AE238" s="20">
        <v>1.5984</v>
      </c>
      <c r="AF238" s="20"/>
      <c r="AG238" s="20"/>
      <c r="AH238" s="20"/>
      <c r="AI238" s="20"/>
      <c r="AJ238" s="20"/>
      <c r="AK238" s="20"/>
      <c r="AL238" s="20"/>
      <c r="AM238" s="20"/>
      <c r="AN238" s="20">
        <f t="shared" si="456"/>
        <v>1.7</v>
      </c>
      <c r="AO238" s="20">
        <f t="shared" si="457"/>
        <v>1.5984</v>
      </c>
      <c r="AP238" s="94"/>
      <c r="AQ238" s="86"/>
      <c r="AR238" s="85">
        <f t="shared" si="438"/>
        <v>-0.10159999999999969</v>
      </c>
      <c r="AS238" s="85">
        <f t="shared" si="439"/>
        <v>0</v>
      </c>
      <c r="AT238" s="113">
        <f t="shared" si="454"/>
        <v>0</v>
      </c>
      <c r="AV238" s="105">
        <f t="shared" si="453"/>
        <v>0</v>
      </c>
      <c r="AX238" s="31">
        <f t="shared" si="460"/>
        <v>0</v>
      </c>
      <c r="AY238" s="15"/>
      <c r="AZ238" s="118"/>
      <c r="BA238" s="118"/>
      <c r="BB238" s="118"/>
      <c r="BC238" s="118"/>
      <c r="BD238" s="8"/>
      <c r="BE238" s="118">
        <f t="shared" si="409"/>
        <v>0</v>
      </c>
      <c r="BF238" s="118">
        <f t="shared" si="410"/>
        <v>0</v>
      </c>
      <c r="BG238" s="118">
        <f t="shared" si="411"/>
        <v>0</v>
      </c>
      <c r="BH238" s="118">
        <f t="shared" si="412"/>
        <v>0</v>
      </c>
      <c r="BI238" s="122">
        <f t="shared" si="413"/>
        <v>0</v>
      </c>
      <c r="BJ238" s="118">
        <f t="shared" si="426"/>
        <v>0</v>
      </c>
      <c r="BK238" s="108">
        <v>2020</v>
      </c>
      <c r="BL238" s="8" t="b">
        <f t="shared" si="427"/>
        <v>1</v>
      </c>
      <c r="BM238" s="128">
        <f t="shared" si="400"/>
        <v>1.5984</v>
      </c>
      <c r="BN238" s="129">
        <f t="shared" si="352"/>
        <v>0</v>
      </c>
      <c r="BR238" s="73">
        <f t="shared" si="428"/>
        <v>0</v>
      </c>
      <c r="BS238" s="73">
        <f t="shared" si="429"/>
        <v>0</v>
      </c>
      <c r="BT238" s="73">
        <f t="shared" si="446"/>
        <v>1.4587439707876613</v>
      </c>
      <c r="BU238" s="73">
        <f t="shared" si="447"/>
        <v>0</v>
      </c>
      <c r="BV238" s="73">
        <f t="shared" si="448"/>
        <v>0</v>
      </c>
      <c r="BW238" s="73">
        <f t="shared" si="449"/>
        <v>0</v>
      </c>
      <c r="BX238" s="73">
        <f t="shared" si="450"/>
        <v>0</v>
      </c>
      <c r="BY238" s="73">
        <f t="shared" si="451"/>
        <v>0</v>
      </c>
      <c r="BZ238" s="74">
        <f t="shared" si="452"/>
        <v>1.7504927649451936</v>
      </c>
      <c r="CB238" s="75">
        <f t="shared" si="401"/>
        <v>1.7504927649451936</v>
      </c>
      <c r="CE238" s="8"/>
      <c r="CJ238" s="70">
        <f t="shared" si="437"/>
        <v>1.8041124150158794E-16</v>
      </c>
      <c r="CL238" s="163"/>
      <c r="CM238" s="68"/>
      <c r="CN238" s="20">
        <v>1.73</v>
      </c>
      <c r="CQ238" s="177">
        <f t="shared" si="402"/>
        <v>1.5984</v>
      </c>
      <c r="CR238" s="177">
        <f t="shared" si="403"/>
        <v>-0.10159999999999991</v>
      </c>
    </row>
    <row r="239" spans="1:96" ht="56.25" x14ac:dyDescent="0.3">
      <c r="B239" s="51" t="s">
        <v>117</v>
      </c>
      <c r="C239" s="76" t="s">
        <v>426</v>
      </c>
      <c r="D239" s="28" t="s">
        <v>338</v>
      </c>
      <c r="E239" s="21" t="s">
        <v>487</v>
      </c>
      <c r="F239" s="21">
        <f t="shared" si="415"/>
        <v>2020</v>
      </c>
      <c r="G239" s="46" t="str">
        <f t="shared" si="416"/>
        <v>Ошибка в +</v>
      </c>
      <c r="H239" s="46">
        <f t="shared" si="417"/>
        <v>2020</v>
      </c>
      <c r="I239" s="22" t="s">
        <v>131</v>
      </c>
      <c r="J239" s="20">
        <f t="shared" si="459"/>
        <v>10.4459</v>
      </c>
      <c r="K239" s="20">
        <v>0</v>
      </c>
      <c r="L239" s="20">
        <f t="shared" si="455"/>
        <v>10.445900000000002</v>
      </c>
      <c r="M239" s="20">
        <v>0.94022967477846253</v>
      </c>
      <c r="N239" s="20">
        <v>2.2981825783815397</v>
      </c>
      <c r="O239" s="20">
        <v>6.7897645180153843</v>
      </c>
      <c r="P239" s="20">
        <v>0.41772322882461432</v>
      </c>
      <c r="Q239" s="20">
        <v>10.4459</v>
      </c>
      <c r="R239" s="20">
        <f t="shared" si="442"/>
        <v>0.94022967477846242</v>
      </c>
      <c r="S239" s="20">
        <f t="shared" si="443"/>
        <v>2.2981825783815393</v>
      </c>
      <c r="T239" s="20">
        <f t="shared" si="444"/>
        <v>6.7897645180153825</v>
      </c>
      <c r="U239" s="20">
        <f t="shared" si="445"/>
        <v>0.41772322882461421</v>
      </c>
      <c r="V239" s="20">
        <v>0</v>
      </c>
      <c r="W239" s="20">
        <f t="shared" si="344"/>
        <v>10.445900000000002</v>
      </c>
      <c r="X239" s="20"/>
      <c r="Y239" s="20">
        <f t="shared" si="423"/>
        <v>-1.354099999999999</v>
      </c>
      <c r="Z239" s="28"/>
      <c r="AA239" s="20">
        <f t="shared" si="424"/>
        <v>0</v>
      </c>
      <c r="AB239" s="20">
        <v>0</v>
      </c>
      <c r="AC239" s="20">
        <v>0</v>
      </c>
      <c r="AD239" s="174">
        <v>11.8</v>
      </c>
      <c r="AE239" s="20">
        <v>10.4459</v>
      </c>
      <c r="AF239" s="20"/>
      <c r="AG239" s="20"/>
      <c r="AH239" s="20"/>
      <c r="AI239" s="20"/>
      <c r="AJ239" s="20"/>
      <c r="AK239" s="20"/>
      <c r="AL239" s="20"/>
      <c r="AM239" s="20"/>
      <c r="AN239" s="20">
        <f t="shared" si="456"/>
        <v>11.8</v>
      </c>
      <c r="AO239" s="20">
        <f t="shared" si="457"/>
        <v>10.4459</v>
      </c>
      <c r="AP239" s="94"/>
      <c r="AQ239" s="86"/>
      <c r="AR239" s="85">
        <f t="shared" si="438"/>
        <v>-1.354099999999999</v>
      </c>
      <c r="AS239" s="85">
        <f t="shared" si="439"/>
        <v>0</v>
      </c>
      <c r="AT239" s="113">
        <f t="shared" si="454"/>
        <v>0</v>
      </c>
      <c r="AV239" s="105">
        <f t="shared" si="453"/>
        <v>0</v>
      </c>
      <c r="AX239" s="31">
        <f t="shared" si="460"/>
        <v>0</v>
      </c>
      <c r="AY239" s="15"/>
      <c r="AZ239" s="118"/>
      <c r="BA239" s="118"/>
      <c r="BB239" s="118"/>
      <c r="BC239" s="118"/>
      <c r="BD239" s="8"/>
      <c r="BE239" s="118">
        <f t="shared" si="409"/>
        <v>0</v>
      </c>
      <c r="BF239" s="118">
        <f t="shared" si="410"/>
        <v>0</v>
      </c>
      <c r="BG239" s="118">
        <f t="shared" si="411"/>
        <v>0</v>
      </c>
      <c r="BH239" s="118">
        <f t="shared" si="412"/>
        <v>0</v>
      </c>
      <c r="BI239" s="122">
        <f t="shared" si="413"/>
        <v>0</v>
      </c>
      <c r="BJ239" s="118">
        <f t="shared" si="426"/>
        <v>0</v>
      </c>
      <c r="BK239" s="108">
        <v>2020</v>
      </c>
      <c r="BL239" s="8" t="b">
        <f t="shared" si="427"/>
        <v>1</v>
      </c>
      <c r="BM239" s="128">
        <f t="shared" si="400"/>
        <v>10.4459</v>
      </c>
      <c r="BN239" s="129">
        <f t="shared" si="352"/>
        <v>0</v>
      </c>
      <c r="BR239" s="73">
        <f t="shared" si="428"/>
        <v>0</v>
      </c>
      <c r="BS239" s="73">
        <f t="shared" si="429"/>
        <v>0</v>
      </c>
      <c r="BT239" s="73">
        <f t="shared" si="446"/>
        <v>9.5332167445262961</v>
      </c>
      <c r="BU239" s="73">
        <f t="shared" si="447"/>
        <v>0</v>
      </c>
      <c r="BV239" s="73">
        <f t="shared" si="448"/>
        <v>0</v>
      </c>
      <c r="BW239" s="73">
        <f t="shared" si="449"/>
        <v>0</v>
      </c>
      <c r="BX239" s="73">
        <f t="shared" si="450"/>
        <v>0</v>
      </c>
      <c r="BY239" s="73">
        <f t="shared" si="451"/>
        <v>0</v>
      </c>
      <c r="BZ239" s="74">
        <f t="shared" si="452"/>
        <v>11.439860093431555</v>
      </c>
      <c r="CB239" s="75">
        <f t="shared" si="401"/>
        <v>11.439860093431555</v>
      </c>
      <c r="CE239" s="8"/>
      <c r="CJ239" s="70">
        <f t="shared" si="437"/>
        <v>1.5543122344752192E-15</v>
      </c>
      <c r="CL239" s="163"/>
      <c r="CM239" s="68"/>
      <c r="CN239" s="20">
        <v>11.81</v>
      </c>
      <c r="CQ239" s="177">
        <f t="shared" si="402"/>
        <v>10.4459</v>
      </c>
      <c r="CR239" s="177">
        <f t="shared" si="403"/>
        <v>-1.3541000000000007</v>
      </c>
    </row>
    <row r="240" spans="1:96" ht="56.25" x14ac:dyDescent="0.3">
      <c r="B240" s="51" t="s">
        <v>117</v>
      </c>
      <c r="C240" s="76" t="s">
        <v>427</v>
      </c>
      <c r="D240" s="28" t="s">
        <v>339</v>
      </c>
      <c r="E240" s="21" t="s">
        <v>487</v>
      </c>
      <c r="F240" s="21">
        <f t="shared" si="415"/>
        <v>2020</v>
      </c>
      <c r="G240" s="46" t="str">
        <f t="shared" si="416"/>
        <v>Ошибка в +</v>
      </c>
      <c r="H240" s="46">
        <f t="shared" si="417"/>
        <v>2020</v>
      </c>
      <c r="I240" s="22" t="s">
        <v>131</v>
      </c>
      <c r="J240" s="20">
        <f t="shared" si="459"/>
        <v>0.61370000000000002</v>
      </c>
      <c r="K240" s="20">
        <v>0</v>
      </c>
      <c r="L240" s="20">
        <f t="shared" si="455"/>
        <v>0.61370000000000002</v>
      </c>
      <c r="M240" s="20">
        <v>5.5228358961431821E-2</v>
      </c>
      <c r="N240" s="20">
        <v>0.13505422233425765</v>
      </c>
      <c r="O240" s="20">
        <v>0.39881991429291658</v>
      </c>
      <c r="P240" s="20">
        <v>2.4597504411394005E-2</v>
      </c>
      <c r="Q240" s="20">
        <v>0.61370000000000002</v>
      </c>
      <c r="R240" s="20">
        <f t="shared" si="442"/>
        <v>5.5228358961431821E-2</v>
      </c>
      <c r="S240" s="20">
        <f t="shared" si="443"/>
        <v>0.13505422233425765</v>
      </c>
      <c r="T240" s="20">
        <f t="shared" si="444"/>
        <v>0.39881991429291658</v>
      </c>
      <c r="U240" s="20">
        <f t="shared" si="445"/>
        <v>2.4597504411394005E-2</v>
      </c>
      <c r="V240" s="20">
        <v>0</v>
      </c>
      <c r="W240" s="20">
        <f t="shared" si="344"/>
        <v>0.61370000000000002</v>
      </c>
      <c r="X240" s="20"/>
      <c r="Y240" s="20">
        <f t="shared" si="423"/>
        <v>-8.6299999999999932E-2</v>
      </c>
      <c r="Z240" s="28"/>
      <c r="AA240" s="20">
        <f t="shared" si="424"/>
        <v>0</v>
      </c>
      <c r="AB240" s="20">
        <v>0</v>
      </c>
      <c r="AC240" s="20">
        <v>0</v>
      </c>
      <c r="AD240" s="174">
        <v>0.7</v>
      </c>
      <c r="AE240" s="20">
        <v>0.61370000000000002</v>
      </c>
      <c r="AF240" s="20"/>
      <c r="AG240" s="20"/>
      <c r="AH240" s="20"/>
      <c r="AI240" s="20"/>
      <c r="AJ240" s="20"/>
      <c r="AK240" s="20"/>
      <c r="AL240" s="20"/>
      <c r="AM240" s="20"/>
      <c r="AN240" s="20">
        <f t="shared" si="456"/>
        <v>0.7</v>
      </c>
      <c r="AO240" s="20">
        <f t="shared" si="457"/>
        <v>0.61370000000000002</v>
      </c>
      <c r="AP240" s="94"/>
      <c r="AQ240" s="86"/>
      <c r="AR240" s="85">
        <f t="shared" si="438"/>
        <v>-8.6299999999999932E-2</v>
      </c>
      <c r="AS240" s="85">
        <f t="shared" si="439"/>
        <v>0</v>
      </c>
      <c r="AT240" s="113">
        <f t="shared" si="454"/>
        <v>0</v>
      </c>
      <c r="AV240" s="105">
        <f t="shared" si="453"/>
        <v>0</v>
      </c>
      <c r="AX240" s="31">
        <f t="shared" si="460"/>
        <v>0</v>
      </c>
      <c r="AY240" s="15"/>
      <c r="AZ240" s="118"/>
      <c r="BA240" s="118"/>
      <c r="BB240" s="118"/>
      <c r="BC240" s="118"/>
      <c r="BD240" s="8"/>
      <c r="BE240" s="118">
        <f t="shared" si="409"/>
        <v>0</v>
      </c>
      <c r="BF240" s="118">
        <f t="shared" si="410"/>
        <v>0</v>
      </c>
      <c r="BG240" s="118">
        <f t="shared" si="411"/>
        <v>0</v>
      </c>
      <c r="BH240" s="118">
        <f t="shared" si="412"/>
        <v>0</v>
      </c>
      <c r="BI240" s="122">
        <f t="shared" si="413"/>
        <v>0</v>
      </c>
      <c r="BJ240" s="118">
        <f t="shared" si="426"/>
        <v>0</v>
      </c>
      <c r="BK240" s="108">
        <v>2020</v>
      </c>
      <c r="BL240" s="8" t="b">
        <f t="shared" si="427"/>
        <v>1</v>
      </c>
      <c r="BM240" s="128">
        <f t="shared" si="400"/>
        <v>0.61370000000000002</v>
      </c>
      <c r="BN240" s="129">
        <f t="shared" si="352"/>
        <v>0</v>
      </c>
      <c r="BR240" s="73">
        <f t="shared" si="428"/>
        <v>0</v>
      </c>
      <c r="BS240" s="73">
        <f t="shared" si="429"/>
        <v>0</v>
      </c>
      <c r="BT240" s="73">
        <f t="shared" si="446"/>
        <v>0.56007956385910151</v>
      </c>
      <c r="BU240" s="73">
        <f t="shared" si="447"/>
        <v>0</v>
      </c>
      <c r="BV240" s="73">
        <f t="shared" si="448"/>
        <v>0</v>
      </c>
      <c r="BW240" s="73">
        <f t="shared" si="449"/>
        <v>0</v>
      </c>
      <c r="BX240" s="73">
        <f t="shared" si="450"/>
        <v>0</v>
      </c>
      <c r="BY240" s="73">
        <f t="shared" si="451"/>
        <v>0</v>
      </c>
      <c r="BZ240" s="74">
        <f t="shared" si="452"/>
        <v>0.67209547663092184</v>
      </c>
      <c r="CB240" s="75">
        <f t="shared" si="401"/>
        <v>0.67209547663092184</v>
      </c>
      <c r="CE240" s="8"/>
      <c r="CJ240" s="70">
        <f t="shared" si="437"/>
        <v>-9.3675067702747583E-17</v>
      </c>
      <c r="CL240" s="163"/>
      <c r="CM240" s="68"/>
      <c r="CN240" s="20">
        <v>0.67900000000000005</v>
      </c>
      <c r="CQ240" s="177">
        <f t="shared" si="402"/>
        <v>0.61370000000000002</v>
      </c>
      <c r="CR240" s="177">
        <f t="shared" si="403"/>
        <v>-8.6299999999999932E-2</v>
      </c>
    </row>
    <row r="241" spans="2:96" ht="56.25" x14ac:dyDescent="0.3">
      <c r="B241" s="51" t="s">
        <v>117</v>
      </c>
      <c r="C241" s="76" t="s">
        <v>428</v>
      </c>
      <c r="D241" s="28" t="s">
        <v>340</v>
      </c>
      <c r="E241" s="21" t="s">
        <v>487</v>
      </c>
      <c r="F241" s="21">
        <f t="shared" si="415"/>
        <v>2020</v>
      </c>
      <c r="G241" s="46" t="str">
        <f t="shared" si="416"/>
        <v>Ошибка в +</v>
      </c>
      <c r="H241" s="46">
        <f t="shared" si="417"/>
        <v>2020</v>
      </c>
      <c r="I241" s="22" t="s">
        <v>131</v>
      </c>
      <c r="J241" s="20">
        <f t="shared" si="459"/>
        <v>0.84960000000000002</v>
      </c>
      <c r="K241" s="20">
        <v>0</v>
      </c>
      <c r="L241" s="20">
        <f t="shared" si="455"/>
        <v>0.84960000000000013</v>
      </c>
      <c r="M241" s="20">
        <v>7.6637051406401563E-2</v>
      </c>
      <c r="N241" s="20">
        <v>0.18706032977691564</v>
      </c>
      <c r="O241" s="20">
        <v>0.55211639185257044</v>
      </c>
      <c r="P241" s="20">
        <v>3.3786226964112522E-2</v>
      </c>
      <c r="Q241" s="20">
        <v>0.84960000000000002</v>
      </c>
      <c r="R241" s="20">
        <f t="shared" si="442"/>
        <v>7.6637051406401563E-2</v>
      </c>
      <c r="S241" s="20">
        <f t="shared" si="443"/>
        <v>0.18706032977691561</v>
      </c>
      <c r="T241" s="20">
        <f t="shared" si="444"/>
        <v>0.55211639185257044</v>
      </c>
      <c r="U241" s="20">
        <f t="shared" si="445"/>
        <v>3.3786226964112522E-2</v>
      </c>
      <c r="V241" s="20">
        <v>0</v>
      </c>
      <c r="W241" s="20">
        <f t="shared" si="344"/>
        <v>0.84960000000000013</v>
      </c>
      <c r="X241" s="20"/>
      <c r="Y241" s="20">
        <f t="shared" si="423"/>
        <v>-0.15039999999999987</v>
      </c>
      <c r="Z241" s="28"/>
      <c r="AA241" s="20">
        <f t="shared" si="424"/>
        <v>0</v>
      </c>
      <c r="AB241" s="20"/>
      <c r="AC241" s="20"/>
      <c r="AD241" s="174">
        <v>1</v>
      </c>
      <c r="AE241" s="20">
        <v>0.84960000000000002</v>
      </c>
      <c r="AF241" s="20"/>
      <c r="AG241" s="20"/>
      <c r="AH241" s="20"/>
      <c r="AI241" s="20"/>
      <c r="AJ241" s="20"/>
      <c r="AK241" s="20"/>
      <c r="AL241" s="20"/>
      <c r="AM241" s="20"/>
      <c r="AN241" s="20">
        <f t="shared" si="456"/>
        <v>1</v>
      </c>
      <c r="AO241" s="20">
        <f t="shared" si="457"/>
        <v>0.84960000000000002</v>
      </c>
      <c r="AP241" s="94"/>
      <c r="AQ241" s="86"/>
      <c r="AR241" s="85">
        <f t="shared" si="438"/>
        <v>-0.15039999999999987</v>
      </c>
      <c r="AS241" s="85">
        <f t="shared" si="439"/>
        <v>0</v>
      </c>
      <c r="AT241" s="113">
        <f t="shared" si="454"/>
        <v>0</v>
      </c>
      <c r="AV241" s="105">
        <f t="shared" si="453"/>
        <v>0</v>
      </c>
      <c r="AX241" s="31">
        <f t="shared" si="460"/>
        <v>0</v>
      </c>
      <c r="AY241" s="15"/>
      <c r="AZ241" s="118"/>
      <c r="BA241" s="118"/>
      <c r="BB241" s="118"/>
      <c r="BC241" s="118"/>
      <c r="BD241" s="8"/>
      <c r="BE241" s="118">
        <f t="shared" si="409"/>
        <v>0</v>
      </c>
      <c r="BF241" s="118">
        <f t="shared" si="410"/>
        <v>0</v>
      </c>
      <c r="BG241" s="118">
        <f t="shared" si="411"/>
        <v>0</v>
      </c>
      <c r="BH241" s="118">
        <f t="shared" si="412"/>
        <v>0</v>
      </c>
      <c r="BI241" s="122">
        <f t="shared" si="413"/>
        <v>0</v>
      </c>
      <c r="BJ241" s="118">
        <f t="shared" si="426"/>
        <v>0</v>
      </c>
      <c r="BK241" s="108">
        <v>2020</v>
      </c>
      <c r="BL241" s="8" t="b">
        <f t="shared" si="427"/>
        <v>1</v>
      </c>
      <c r="BM241" s="128">
        <f t="shared" si="400"/>
        <v>0.84960000000000002</v>
      </c>
      <c r="BN241" s="129">
        <f t="shared" si="352"/>
        <v>0</v>
      </c>
      <c r="BR241" s="73">
        <f t="shared" si="428"/>
        <v>0</v>
      </c>
      <c r="BS241" s="73">
        <f t="shared" si="429"/>
        <v>0</v>
      </c>
      <c r="BT241" s="73">
        <f t="shared" si="446"/>
        <v>0.77536841690515335</v>
      </c>
      <c r="BU241" s="73">
        <f t="shared" si="447"/>
        <v>0</v>
      </c>
      <c r="BV241" s="73">
        <f t="shared" si="448"/>
        <v>0</v>
      </c>
      <c r="BW241" s="73">
        <f t="shared" si="449"/>
        <v>0</v>
      </c>
      <c r="BX241" s="73">
        <f t="shared" si="450"/>
        <v>0</v>
      </c>
      <c r="BY241" s="73">
        <f t="shared" si="451"/>
        <v>0</v>
      </c>
      <c r="BZ241" s="74">
        <f t="shared" si="452"/>
        <v>0.93044210028618402</v>
      </c>
      <c r="CB241" s="75">
        <f t="shared" si="401"/>
        <v>0.93044210028618402</v>
      </c>
      <c r="CE241" s="8"/>
      <c r="CJ241" s="70">
        <f t="shared" si="437"/>
        <v>0</v>
      </c>
      <c r="CL241" s="163"/>
      <c r="CM241" s="68"/>
      <c r="CN241" s="20">
        <v>1.03</v>
      </c>
      <c r="CQ241" s="177">
        <f t="shared" si="402"/>
        <v>0.84960000000000002</v>
      </c>
      <c r="CR241" s="177">
        <f t="shared" si="403"/>
        <v>-0.15039999999999998</v>
      </c>
    </row>
    <row r="242" spans="2:96" ht="66" x14ac:dyDescent="0.3">
      <c r="B242" s="51" t="s">
        <v>117</v>
      </c>
      <c r="C242" s="76" t="s">
        <v>467</v>
      </c>
      <c r="D242" s="28" t="s">
        <v>342</v>
      </c>
      <c r="E242" s="21" t="s">
        <v>487</v>
      </c>
      <c r="F242" s="21">
        <f t="shared" si="415"/>
        <v>2021</v>
      </c>
      <c r="G242" s="46" t="str">
        <f t="shared" si="416"/>
        <v>Ошибка в +</v>
      </c>
      <c r="H242" s="46">
        <f t="shared" si="417"/>
        <v>2021</v>
      </c>
      <c r="I242" s="22" t="s">
        <v>131</v>
      </c>
      <c r="J242" s="20">
        <f t="shared" si="459"/>
        <v>68.8262</v>
      </c>
      <c r="K242" s="20">
        <v>0</v>
      </c>
      <c r="L242" s="20">
        <f t="shared" si="455"/>
        <v>67.150000000000006</v>
      </c>
      <c r="M242" s="20">
        <v>4.0278427185193513</v>
      </c>
      <c r="N242" s="20">
        <v>30.217625791465291</v>
      </c>
      <c r="O242" s="20">
        <v>29.545899366827776</v>
      </c>
      <c r="P242" s="20">
        <v>3.3586321231875913</v>
      </c>
      <c r="Q242" s="20">
        <v>68.8262</v>
      </c>
      <c r="R242" s="20">
        <f t="shared" si="442"/>
        <v>4.1283858304297327</v>
      </c>
      <c r="S242" s="20">
        <f t="shared" si="443"/>
        <v>30.971918931475027</v>
      </c>
      <c r="T242" s="20">
        <f t="shared" si="444"/>
        <v>30.28342485481998</v>
      </c>
      <c r="U242" s="20">
        <f t="shared" si="445"/>
        <v>3.442470383275261</v>
      </c>
      <c r="V242" s="20">
        <v>0</v>
      </c>
      <c r="W242" s="20">
        <f t="shared" si="344"/>
        <v>67.150000000000006</v>
      </c>
      <c r="X242" s="20"/>
      <c r="Y242" s="20">
        <f t="shared" si="423"/>
        <v>-1.7000000000000028</v>
      </c>
      <c r="Z242" s="28"/>
      <c r="AA242" s="20">
        <f t="shared" si="424"/>
        <v>0</v>
      </c>
      <c r="AB242" s="20"/>
      <c r="AC242" s="20"/>
      <c r="AD242" s="174">
        <v>1.7</v>
      </c>
      <c r="AE242" s="20"/>
      <c r="AF242" s="20">
        <v>67.150000000000006</v>
      </c>
      <c r="AG242" s="20">
        <v>68.8262</v>
      </c>
      <c r="AH242" s="20"/>
      <c r="AI242" s="20"/>
      <c r="AJ242" s="20"/>
      <c r="AK242" s="20"/>
      <c r="AL242" s="20"/>
      <c r="AM242" s="20"/>
      <c r="AN242" s="20">
        <f t="shared" si="456"/>
        <v>68.850000000000009</v>
      </c>
      <c r="AO242" s="20">
        <f t="shared" si="457"/>
        <v>68.8262</v>
      </c>
      <c r="AP242" s="94" t="s">
        <v>481</v>
      </c>
      <c r="AQ242" s="86"/>
      <c r="AR242" s="85">
        <f t="shared" si="438"/>
        <v>-1.7000000000000028</v>
      </c>
      <c r="AS242" s="85">
        <f t="shared" si="439"/>
        <v>0</v>
      </c>
      <c r="AT242" s="113">
        <f t="shared" si="454"/>
        <v>1.6761999999999944</v>
      </c>
      <c r="AV242" s="105">
        <f t="shared" si="453"/>
        <v>0</v>
      </c>
      <c r="AX242" s="31">
        <f t="shared" si="460"/>
        <v>0</v>
      </c>
      <c r="AY242" s="15"/>
      <c r="AZ242" s="118">
        <v>68.8262</v>
      </c>
      <c r="BA242" s="118"/>
      <c r="BB242" s="118"/>
      <c r="BC242" s="118"/>
      <c r="BD242" s="8"/>
      <c r="BE242" s="118">
        <f t="shared" si="409"/>
        <v>0</v>
      </c>
      <c r="BF242" s="118">
        <f t="shared" si="410"/>
        <v>0</v>
      </c>
      <c r="BG242" s="118">
        <f t="shared" si="411"/>
        <v>0</v>
      </c>
      <c r="BH242" s="118">
        <f t="shared" si="412"/>
        <v>0</v>
      </c>
      <c r="BI242" s="122">
        <f t="shared" si="413"/>
        <v>0</v>
      </c>
      <c r="BJ242" s="118">
        <f t="shared" si="426"/>
        <v>0</v>
      </c>
      <c r="BK242" s="108">
        <v>2021</v>
      </c>
      <c r="BL242" s="8" t="b">
        <f t="shared" si="427"/>
        <v>1</v>
      </c>
      <c r="BM242" s="128">
        <f t="shared" si="400"/>
        <v>68.8262</v>
      </c>
      <c r="BN242" s="129">
        <f t="shared" si="352"/>
        <v>0</v>
      </c>
      <c r="BR242" s="73">
        <f t="shared" si="428"/>
        <v>0</v>
      </c>
      <c r="BS242" s="73">
        <f t="shared" si="429"/>
        <v>0</v>
      </c>
      <c r="BT242" s="73">
        <f t="shared" si="446"/>
        <v>0</v>
      </c>
      <c r="BU242" s="73">
        <f t="shared" si="447"/>
        <v>60.259084119171085</v>
      </c>
      <c r="BV242" s="73">
        <f t="shared" si="448"/>
        <v>0</v>
      </c>
      <c r="BW242" s="73">
        <f t="shared" si="449"/>
        <v>0</v>
      </c>
      <c r="BX242" s="73">
        <f t="shared" si="450"/>
        <v>0</v>
      </c>
      <c r="BY242" s="73">
        <f t="shared" si="451"/>
        <v>0</v>
      </c>
      <c r="BZ242" s="74">
        <f t="shared" si="452"/>
        <v>72.310900943005294</v>
      </c>
      <c r="CB242" s="75">
        <f t="shared" si="401"/>
        <v>72.310900943005294</v>
      </c>
      <c r="CE242" s="8"/>
      <c r="CJ242" s="70">
        <f t="shared" si="437"/>
        <v>-7.5495165674510645E-15</v>
      </c>
      <c r="CL242" s="163"/>
      <c r="CM242" s="68"/>
      <c r="CN242" s="20">
        <v>1.69</v>
      </c>
      <c r="CQ242" s="177">
        <f t="shared" si="402"/>
        <v>68.8262</v>
      </c>
      <c r="CR242" s="177">
        <f t="shared" si="403"/>
        <v>-2.3800000000008481E-2</v>
      </c>
    </row>
    <row r="243" spans="2:96" ht="56.25" x14ac:dyDescent="0.3">
      <c r="B243" s="51" t="s">
        <v>117</v>
      </c>
      <c r="C243" s="76" t="s">
        <v>469</v>
      </c>
      <c r="D243" s="28" t="s">
        <v>344</v>
      </c>
      <c r="E243" s="21" t="s">
        <v>487</v>
      </c>
      <c r="F243" s="21">
        <f t="shared" si="415"/>
        <v>2020</v>
      </c>
      <c r="G243" s="46">
        <f t="shared" si="416"/>
        <v>2025</v>
      </c>
      <c r="H243" s="46">
        <f t="shared" si="417"/>
        <v>2021</v>
      </c>
      <c r="I243" s="22" t="s">
        <v>131</v>
      </c>
      <c r="J243" s="20">
        <f t="shared" si="459"/>
        <v>72.674800000000005</v>
      </c>
      <c r="K243" s="20">
        <v>0</v>
      </c>
      <c r="L243" s="20">
        <f>M243+N243+O243+P243</f>
        <v>72.6999</v>
      </c>
      <c r="M243" s="20">
        <v>6.5429910000000007</v>
      </c>
      <c r="N243" s="20">
        <v>15.993978000000002</v>
      </c>
      <c r="O243" s="20">
        <v>47.254935000000003</v>
      </c>
      <c r="P243" s="20">
        <v>2.9079960000000002</v>
      </c>
      <c r="Q243" s="20">
        <v>72.674800000000005</v>
      </c>
      <c r="R243" s="20">
        <f>M243/L243*Q243</f>
        <v>6.5407320000000011</v>
      </c>
      <c r="S243" s="20">
        <f>N243/L243*Q243</f>
        <v>15.988456000000003</v>
      </c>
      <c r="T243" s="20">
        <f>O243/L243*Q243</f>
        <v>47.238620000000004</v>
      </c>
      <c r="U243" s="20">
        <f>P243/L243*Q243</f>
        <v>2.9069920000000002</v>
      </c>
      <c r="V243" s="20">
        <v>0</v>
      </c>
      <c r="W243" s="20">
        <f>L243-K243</f>
        <v>72.6999</v>
      </c>
      <c r="X243" s="20"/>
      <c r="Y243" s="20">
        <f>W243-(AB243+AD243+AF243)</f>
        <v>18.799900000000001</v>
      </c>
      <c r="Z243" s="28"/>
      <c r="AA243" s="20">
        <f>Q243-(K243+AC243+AE243+AG243)</f>
        <v>0</v>
      </c>
      <c r="AB243" s="20"/>
      <c r="AC243" s="20"/>
      <c r="AD243" s="174">
        <v>28.2</v>
      </c>
      <c r="AE243" s="20">
        <v>46.999900000000004</v>
      </c>
      <c r="AF243" s="20">
        <v>25.7</v>
      </c>
      <c r="AG243" s="20">
        <v>25.674900000000001</v>
      </c>
      <c r="AH243" s="20"/>
      <c r="AI243" s="20"/>
      <c r="AJ243" s="20"/>
      <c r="AK243" s="20"/>
      <c r="AL243" s="20"/>
      <c r="AM243" s="20"/>
      <c r="AN243" s="20">
        <f>SUM(AD243+AF243+AH243+AJ243+AL243)</f>
        <v>53.9</v>
      </c>
      <c r="AO243" s="20">
        <f>SUM(AE243+AG243+AI243+AK243+AM243)</f>
        <v>72.674800000000005</v>
      </c>
      <c r="AP243" s="94"/>
      <c r="AQ243" s="86"/>
      <c r="AR243" s="85">
        <f>L243-(K243+AB243+AD243+AF243+AH243+AJ243+AL243)</f>
        <v>18.799900000000001</v>
      </c>
      <c r="AS243" s="85">
        <f>Q243-(K243+AC243+AE243+AG243+AI243+AK243+AM243)</f>
        <v>0</v>
      </c>
      <c r="AT243" s="113">
        <f t="shared" si="454"/>
        <v>-2.5099999999994793E-2</v>
      </c>
      <c r="AV243" s="105">
        <f t="shared" si="453"/>
        <v>0</v>
      </c>
      <c r="AX243" s="31">
        <f t="shared" si="460"/>
        <v>0</v>
      </c>
      <c r="AY243" s="15"/>
      <c r="AZ243" s="118">
        <v>25.674900000000001</v>
      </c>
      <c r="BA243" s="118"/>
      <c r="BB243" s="118"/>
      <c r="BC243" s="118"/>
      <c r="BD243" s="8"/>
      <c r="BE243" s="118">
        <f t="shared" si="409"/>
        <v>0</v>
      </c>
      <c r="BF243" s="118">
        <f t="shared" si="410"/>
        <v>0</v>
      </c>
      <c r="BG243" s="118">
        <f t="shared" si="411"/>
        <v>0</v>
      </c>
      <c r="BH243" s="118">
        <f t="shared" si="412"/>
        <v>0</v>
      </c>
      <c r="BI243" s="122">
        <f t="shared" si="413"/>
        <v>0</v>
      </c>
      <c r="BJ243" s="118">
        <f t="shared" si="426"/>
        <v>0</v>
      </c>
      <c r="BK243" s="108">
        <v>2021</v>
      </c>
      <c r="BL243" s="8" t="b">
        <f t="shared" si="427"/>
        <v>1</v>
      </c>
      <c r="BM243" s="128">
        <f t="shared" si="400"/>
        <v>72.674800000000005</v>
      </c>
      <c r="BN243" s="129">
        <f t="shared" si="352"/>
        <v>0</v>
      </c>
      <c r="BR243" s="73">
        <f>K243/$BR$15</f>
        <v>0</v>
      </c>
      <c r="BS243" s="73">
        <f>AC243/$BS$15</f>
        <v>0</v>
      </c>
      <c r="BT243" s="73">
        <f>AE243/$BT$15</f>
        <v>42.893406376766144</v>
      </c>
      <c r="BU243" s="73">
        <f>AG243/$BU$15</f>
        <v>22.479026284340929</v>
      </c>
      <c r="BV243" s="73">
        <f>AI243/$BV$15</f>
        <v>0</v>
      </c>
      <c r="BW243" s="73">
        <f>AK243/$BW$15</f>
        <v>0</v>
      </c>
      <c r="BX243" s="73">
        <f>AM243/$BX$15</f>
        <v>0</v>
      </c>
      <c r="BY243" s="73">
        <f>(Q243-K243-AC243-AE243-AG243-AI243-AK243-AM243)/$BY$15</f>
        <v>0</v>
      </c>
      <c r="BZ243" s="74">
        <f>SUM(BR243:BY243)*1.2</f>
        <v>78.446919193328483</v>
      </c>
      <c r="CB243" s="75">
        <f>((Q243-(K243+AC243+AE243+AG243+AI243+AK243+AM243))/$BY$15+K243/$BR$15+AC243/$BS$15+AE243/$BT$15+AG243/$BU$15+AI243/$BV$15+AK243/$BW$15+AM243/$BX$15)*1.2</f>
        <v>78.446919193328483</v>
      </c>
      <c r="CE243" s="8"/>
      <c r="CJ243" s="70">
        <f>Q243-R243-S243-T243-U243</f>
        <v>-4.8849813083506888E-15</v>
      </c>
      <c r="CL243" s="163"/>
      <c r="CM243" s="68"/>
      <c r="CN243" s="20">
        <v>28.2</v>
      </c>
      <c r="CQ243" s="177">
        <f t="shared" si="402"/>
        <v>72.674800000000005</v>
      </c>
      <c r="CR243" s="177">
        <f t="shared" si="403"/>
        <v>18.774800000000006</v>
      </c>
    </row>
    <row r="244" spans="2:96" ht="56.25" x14ac:dyDescent="0.3">
      <c r="B244" s="51" t="s">
        <v>117</v>
      </c>
      <c r="C244" s="76" t="s">
        <v>468</v>
      </c>
      <c r="D244" s="28" t="s">
        <v>343</v>
      </c>
      <c r="E244" s="21" t="s">
        <v>487</v>
      </c>
      <c r="F244" s="21">
        <f t="shared" si="415"/>
        <v>2020</v>
      </c>
      <c r="G244" s="46">
        <f t="shared" si="416"/>
        <v>2025</v>
      </c>
      <c r="H244" s="46">
        <f t="shared" si="417"/>
        <v>2021</v>
      </c>
      <c r="I244" s="22" t="s">
        <v>131</v>
      </c>
      <c r="J244" s="20">
        <f t="shared" si="459"/>
        <v>60.298299999999998</v>
      </c>
      <c r="K244" s="20">
        <v>0</v>
      </c>
      <c r="L244" s="20">
        <f t="shared" si="455"/>
        <v>60.318300000000001</v>
      </c>
      <c r="M244" s="20">
        <v>5.4289300516189574</v>
      </c>
      <c r="N244" s="20">
        <v>13.269459896762081</v>
      </c>
      <c r="O244" s="20">
        <v>39.208310258094791</v>
      </c>
      <c r="P244" s="20">
        <v>2.4115997935241671</v>
      </c>
      <c r="Q244" s="20">
        <v>60.298299999999998</v>
      </c>
      <c r="R244" s="20">
        <f t="shared" si="442"/>
        <v>5.4271299577663061</v>
      </c>
      <c r="S244" s="20">
        <f t="shared" si="443"/>
        <v>13.265060084467384</v>
      </c>
      <c r="T244" s="20">
        <f t="shared" si="444"/>
        <v>39.19530978883153</v>
      </c>
      <c r="U244" s="20">
        <f t="shared" si="445"/>
        <v>2.410800168934772</v>
      </c>
      <c r="V244" s="20">
        <v>0</v>
      </c>
      <c r="W244" s="20">
        <f t="shared" si="344"/>
        <v>60.318300000000001</v>
      </c>
      <c r="X244" s="20"/>
      <c r="Y244" s="20">
        <f t="shared" si="423"/>
        <v>4.7252999999999972</v>
      </c>
      <c r="Z244" s="28"/>
      <c r="AA244" s="20">
        <f t="shared" si="424"/>
        <v>0</v>
      </c>
      <c r="AB244" s="20"/>
      <c r="AC244" s="20"/>
      <c r="AD244" s="174">
        <v>21.3</v>
      </c>
      <c r="AE244" s="20">
        <v>26.025299999999998</v>
      </c>
      <c r="AF244" s="20">
        <v>34.292999999999999</v>
      </c>
      <c r="AG244" s="20">
        <v>34.272999999999996</v>
      </c>
      <c r="AH244" s="20"/>
      <c r="AI244" s="20"/>
      <c r="AJ244" s="20"/>
      <c r="AK244" s="20"/>
      <c r="AL244" s="20"/>
      <c r="AM244" s="20"/>
      <c r="AN244" s="20">
        <f t="shared" si="456"/>
        <v>55.593000000000004</v>
      </c>
      <c r="AO244" s="20">
        <f t="shared" si="457"/>
        <v>60.298299999999998</v>
      </c>
      <c r="AP244" s="94"/>
      <c r="AQ244" s="86"/>
      <c r="AR244" s="85">
        <f t="shared" si="438"/>
        <v>4.7252999999999972</v>
      </c>
      <c r="AS244" s="85">
        <f t="shared" si="439"/>
        <v>0</v>
      </c>
      <c r="AT244" s="113">
        <f t="shared" si="454"/>
        <v>-2.0000000000003126E-2</v>
      </c>
      <c r="AV244" s="105">
        <f t="shared" si="453"/>
        <v>0</v>
      </c>
      <c r="AX244" s="31">
        <f t="shared" si="460"/>
        <v>0</v>
      </c>
      <c r="AY244" s="15"/>
      <c r="AZ244" s="118">
        <v>34.272999999999996</v>
      </c>
      <c r="BA244" s="118"/>
      <c r="BB244" s="118"/>
      <c r="BC244" s="118"/>
      <c r="BD244" s="8"/>
      <c r="BE244" s="118">
        <f t="shared" si="409"/>
        <v>0</v>
      </c>
      <c r="BF244" s="118">
        <f t="shared" si="410"/>
        <v>0</v>
      </c>
      <c r="BG244" s="118">
        <f t="shared" si="411"/>
        <v>0</v>
      </c>
      <c r="BH244" s="118">
        <f t="shared" si="412"/>
        <v>0</v>
      </c>
      <c r="BI244" s="122">
        <f t="shared" si="413"/>
        <v>0</v>
      </c>
      <c r="BJ244" s="118">
        <f t="shared" si="426"/>
        <v>0</v>
      </c>
      <c r="BK244" s="108">
        <v>2021</v>
      </c>
      <c r="BL244" s="8" t="b">
        <f t="shared" si="427"/>
        <v>1</v>
      </c>
      <c r="BM244" s="128">
        <f t="shared" si="400"/>
        <v>60.298299999999998</v>
      </c>
      <c r="BN244" s="129">
        <f t="shared" si="352"/>
        <v>0</v>
      </c>
      <c r="BR244" s="73">
        <f t="shared" si="428"/>
        <v>0</v>
      </c>
      <c r="BS244" s="73">
        <f t="shared" si="429"/>
        <v>0</v>
      </c>
      <c r="BT244" s="73">
        <f t="shared" si="446"/>
        <v>23.751407321659233</v>
      </c>
      <c r="BU244" s="73">
        <f t="shared" si="447"/>
        <v>30.006880955455195</v>
      </c>
      <c r="BV244" s="73">
        <f t="shared" si="448"/>
        <v>0</v>
      </c>
      <c r="BW244" s="73">
        <f t="shared" si="449"/>
        <v>0</v>
      </c>
      <c r="BX244" s="73">
        <f t="shared" si="450"/>
        <v>0</v>
      </c>
      <c r="BY244" s="73">
        <f t="shared" si="451"/>
        <v>0</v>
      </c>
      <c r="BZ244" s="74">
        <f t="shared" si="452"/>
        <v>64.50994593253732</v>
      </c>
      <c r="CB244" s="75">
        <f t="shared" si="401"/>
        <v>64.50994593253732</v>
      </c>
      <c r="CE244" s="8"/>
      <c r="CJ244" s="70">
        <f t="shared" si="437"/>
        <v>5.3290705182007514E-15</v>
      </c>
      <c r="CL244" s="163"/>
      <c r="CM244" s="68"/>
      <c r="CN244" s="20">
        <v>21.31</v>
      </c>
      <c r="CQ244" s="177">
        <f t="shared" si="402"/>
        <v>60.298299999999998</v>
      </c>
      <c r="CR244" s="177">
        <f t="shared" si="403"/>
        <v>4.705299999999994</v>
      </c>
    </row>
    <row r="245" spans="2:96" ht="56.25" x14ac:dyDescent="0.3">
      <c r="B245" s="51" t="s">
        <v>117</v>
      </c>
      <c r="C245" s="76" t="s">
        <v>470</v>
      </c>
      <c r="D245" s="28" t="s">
        <v>345</v>
      </c>
      <c r="E245" s="21" t="s">
        <v>487</v>
      </c>
      <c r="F245" s="21">
        <f t="shared" si="415"/>
        <v>2020</v>
      </c>
      <c r="G245" s="46">
        <f t="shared" si="416"/>
        <v>2025</v>
      </c>
      <c r="H245" s="46">
        <f t="shared" si="417"/>
        <v>2021</v>
      </c>
      <c r="I245" s="22" t="s">
        <v>131</v>
      </c>
      <c r="J245" s="20">
        <f t="shared" si="459"/>
        <v>58.956699999999998</v>
      </c>
      <c r="K245" s="20">
        <v>0</v>
      </c>
      <c r="L245" s="20">
        <f t="shared" si="455"/>
        <v>58.976700000000008</v>
      </c>
      <c r="M245" s="20">
        <v>5.3080279241686084</v>
      </c>
      <c r="N245" s="20">
        <v>12.974624151662782</v>
      </c>
      <c r="O245" s="20">
        <v>38.335479620843046</v>
      </c>
      <c r="P245" s="20">
        <v>2.3585683033255664</v>
      </c>
      <c r="Q245" s="20">
        <v>58.956699999999998</v>
      </c>
      <c r="R245" s="20">
        <f t="shared" si="442"/>
        <v>5.3062278818047011</v>
      </c>
      <c r="S245" s="20">
        <f t="shared" si="443"/>
        <v>12.970224236390591</v>
      </c>
      <c r="T245" s="20">
        <f t="shared" si="444"/>
        <v>38.322479409023515</v>
      </c>
      <c r="U245" s="20">
        <f t="shared" si="445"/>
        <v>2.3577684727811898</v>
      </c>
      <c r="V245" s="20">
        <v>0</v>
      </c>
      <c r="W245" s="20">
        <f t="shared" si="344"/>
        <v>58.976700000000008</v>
      </c>
      <c r="X245" s="20"/>
      <c r="Y245" s="20">
        <f t="shared" si="423"/>
        <v>20.28370000000001</v>
      </c>
      <c r="Z245" s="28"/>
      <c r="AA245" s="20">
        <f t="shared" si="424"/>
        <v>0</v>
      </c>
      <c r="AB245" s="20">
        <v>0</v>
      </c>
      <c r="AC245" s="20">
        <v>0</v>
      </c>
      <c r="AD245" s="174">
        <v>4.3</v>
      </c>
      <c r="AE245" s="20">
        <v>24.5837</v>
      </c>
      <c r="AF245" s="20">
        <v>34.393000000000001</v>
      </c>
      <c r="AG245" s="20">
        <v>34.372999999999998</v>
      </c>
      <c r="AH245" s="20"/>
      <c r="AI245" s="20"/>
      <c r="AJ245" s="20"/>
      <c r="AK245" s="20"/>
      <c r="AL245" s="20"/>
      <c r="AM245" s="20"/>
      <c r="AN245" s="20">
        <f t="shared" si="456"/>
        <v>38.692999999999998</v>
      </c>
      <c r="AO245" s="20">
        <f t="shared" si="457"/>
        <v>58.956699999999998</v>
      </c>
      <c r="AP245" s="94"/>
      <c r="AQ245" s="86"/>
      <c r="AR245" s="85">
        <f t="shared" si="438"/>
        <v>20.28370000000001</v>
      </c>
      <c r="AS245" s="85">
        <f t="shared" si="439"/>
        <v>0</v>
      </c>
      <c r="AT245" s="113">
        <f t="shared" si="454"/>
        <v>-2.0000000000010232E-2</v>
      </c>
      <c r="AV245" s="105">
        <f t="shared" si="453"/>
        <v>0</v>
      </c>
      <c r="AX245" s="31">
        <f t="shared" si="460"/>
        <v>0</v>
      </c>
      <c r="AY245" s="15"/>
      <c r="AZ245" s="118">
        <v>34.372999999999998</v>
      </c>
      <c r="BA245" s="118"/>
      <c r="BB245" s="118"/>
      <c r="BC245" s="118"/>
      <c r="BD245" s="8"/>
      <c r="BE245" s="118">
        <f t="shared" si="409"/>
        <v>0</v>
      </c>
      <c r="BF245" s="118">
        <f t="shared" si="410"/>
        <v>0</v>
      </c>
      <c r="BG245" s="118">
        <f t="shared" si="411"/>
        <v>0</v>
      </c>
      <c r="BH245" s="118">
        <f t="shared" si="412"/>
        <v>0</v>
      </c>
      <c r="BI245" s="122">
        <f t="shared" si="413"/>
        <v>0</v>
      </c>
      <c r="BJ245" s="118">
        <f t="shared" si="426"/>
        <v>0</v>
      </c>
      <c r="BK245" s="108">
        <v>2021</v>
      </c>
      <c r="BL245" s="8" t="b">
        <f t="shared" si="427"/>
        <v>1</v>
      </c>
      <c r="BM245" s="128">
        <f t="shared" si="400"/>
        <v>58.956699999999998</v>
      </c>
      <c r="BN245" s="129">
        <f t="shared" si="352"/>
        <v>0</v>
      </c>
      <c r="BR245" s="73">
        <f t="shared" si="428"/>
        <v>0</v>
      </c>
      <c r="BS245" s="73">
        <f t="shared" si="429"/>
        <v>0</v>
      </c>
      <c r="BT245" s="73">
        <f t="shared" si="446"/>
        <v>22.435763360017912</v>
      </c>
      <c r="BU245" s="73">
        <f t="shared" si="447"/>
        <v>30.09443349230769</v>
      </c>
      <c r="BV245" s="73">
        <f t="shared" si="448"/>
        <v>0</v>
      </c>
      <c r="BW245" s="73">
        <f t="shared" si="449"/>
        <v>0</v>
      </c>
      <c r="BX245" s="73">
        <f t="shared" si="450"/>
        <v>0</v>
      </c>
      <c r="BY245" s="73">
        <f t="shared" si="451"/>
        <v>0</v>
      </c>
      <c r="BZ245" s="74">
        <f t="shared" si="452"/>
        <v>63.03623622279072</v>
      </c>
      <c r="CB245" s="75">
        <f t="shared" si="401"/>
        <v>63.03623622279072</v>
      </c>
      <c r="CE245" s="8"/>
      <c r="CJ245" s="70">
        <f t="shared" si="437"/>
        <v>0</v>
      </c>
      <c r="CL245" s="163"/>
      <c r="CM245" s="68"/>
      <c r="CN245" s="20">
        <v>4.3</v>
      </c>
      <c r="CQ245" s="177">
        <f t="shared" si="402"/>
        <v>58.956699999999998</v>
      </c>
      <c r="CR245" s="177">
        <f t="shared" si="403"/>
        <v>20.2637</v>
      </c>
    </row>
    <row r="246" spans="2:96" ht="56.25" x14ac:dyDescent="0.3">
      <c r="B246" s="51" t="s">
        <v>117</v>
      </c>
      <c r="C246" s="76" t="s">
        <v>471</v>
      </c>
      <c r="D246" s="28" t="s">
        <v>346</v>
      </c>
      <c r="E246" s="21" t="s">
        <v>487</v>
      </c>
      <c r="F246" s="21">
        <f t="shared" si="415"/>
        <v>2020</v>
      </c>
      <c r="G246" s="46" t="str">
        <f t="shared" si="416"/>
        <v>Ошибка в +</v>
      </c>
      <c r="H246" s="46">
        <f t="shared" si="417"/>
        <v>2021</v>
      </c>
      <c r="I246" s="22" t="s">
        <v>131</v>
      </c>
      <c r="J246" s="20">
        <f t="shared" si="459"/>
        <v>91.888400000000004</v>
      </c>
      <c r="K246" s="20">
        <v>0</v>
      </c>
      <c r="L246" s="20">
        <f t="shared" si="455"/>
        <v>92.013400000000004</v>
      </c>
      <c r="M246" s="20">
        <v>8.281206000000001</v>
      </c>
      <c r="N246" s="20">
        <v>20.242947999999998</v>
      </c>
      <c r="O246" s="20">
        <v>59.808710000000005</v>
      </c>
      <c r="P246" s="20">
        <v>3.6805359999999996</v>
      </c>
      <c r="Q246" s="20">
        <v>91.888400000000004</v>
      </c>
      <c r="R246" s="20">
        <f t="shared" si="442"/>
        <v>8.2699560000000005</v>
      </c>
      <c r="S246" s="20">
        <f t="shared" si="443"/>
        <v>20.215447999999999</v>
      </c>
      <c r="T246" s="20">
        <f t="shared" si="444"/>
        <v>59.727460000000008</v>
      </c>
      <c r="U246" s="20">
        <f t="shared" si="445"/>
        <v>3.6755359999999997</v>
      </c>
      <c r="V246" s="20">
        <v>0</v>
      </c>
      <c r="W246" s="20">
        <f t="shared" si="344"/>
        <v>92.013400000000004</v>
      </c>
      <c r="X246" s="20"/>
      <c r="Y246" s="20">
        <f t="shared" si="423"/>
        <v>-3.9795999999999907</v>
      </c>
      <c r="Z246" s="28"/>
      <c r="AA246" s="20">
        <f t="shared" si="424"/>
        <v>0</v>
      </c>
      <c r="AB246" s="20">
        <v>0</v>
      </c>
      <c r="AC246" s="20">
        <v>0</v>
      </c>
      <c r="AD246" s="174">
        <v>60.5</v>
      </c>
      <c r="AE246" s="20">
        <v>56.520400000000002</v>
      </c>
      <c r="AF246" s="20">
        <v>35.493000000000002</v>
      </c>
      <c r="AG246" s="20">
        <v>35.368000000000002</v>
      </c>
      <c r="AH246" s="20"/>
      <c r="AI246" s="20"/>
      <c r="AJ246" s="20"/>
      <c r="AK246" s="20"/>
      <c r="AL246" s="20"/>
      <c r="AM246" s="20"/>
      <c r="AN246" s="20">
        <f t="shared" si="456"/>
        <v>95.992999999999995</v>
      </c>
      <c r="AO246" s="20">
        <f t="shared" si="457"/>
        <v>91.888400000000004</v>
      </c>
      <c r="AP246" s="94"/>
      <c r="AQ246" s="86"/>
      <c r="AR246" s="85">
        <f t="shared" si="438"/>
        <v>-3.9795999999999907</v>
      </c>
      <c r="AS246" s="85">
        <f t="shared" si="439"/>
        <v>0</v>
      </c>
      <c r="AT246" s="113">
        <f t="shared" si="454"/>
        <v>-0.125</v>
      </c>
      <c r="AV246" s="105">
        <f t="shared" si="453"/>
        <v>0</v>
      </c>
      <c r="AX246" s="31">
        <f t="shared" si="460"/>
        <v>0</v>
      </c>
      <c r="AY246" s="15"/>
      <c r="AZ246" s="118">
        <v>35.368000000000002</v>
      </c>
      <c r="BA246" s="118"/>
      <c r="BB246" s="118"/>
      <c r="BC246" s="118"/>
      <c r="BD246" s="8"/>
      <c r="BE246" s="118">
        <f t="shared" si="409"/>
        <v>0</v>
      </c>
      <c r="BF246" s="118">
        <f t="shared" si="410"/>
        <v>0</v>
      </c>
      <c r="BG246" s="118">
        <f t="shared" si="411"/>
        <v>0</v>
      </c>
      <c r="BH246" s="118">
        <f t="shared" si="412"/>
        <v>0</v>
      </c>
      <c r="BI246" s="122">
        <f t="shared" si="413"/>
        <v>0</v>
      </c>
      <c r="BJ246" s="118">
        <f t="shared" si="426"/>
        <v>0</v>
      </c>
      <c r="BK246" s="108">
        <v>2021</v>
      </c>
      <c r="BL246" s="8" t="b">
        <f t="shared" si="427"/>
        <v>1</v>
      </c>
      <c r="BM246" s="128">
        <f t="shared" si="400"/>
        <v>91.888400000000004</v>
      </c>
      <c r="BN246" s="129">
        <f t="shared" si="352"/>
        <v>0</v>
      </c>
      <c r="BR246" s="73">
        <f t="shared" si="428"/>
        <v>0</v>
      </c>
      <c r="BS246" s="73">
        <f t="shared" si="429"/>
        <v>0</v>
      </c>
      <c r="BT246" s="73">
        <f t="shared" si="446"/>
        <v>51.582077531598436</v>
      </c>
      <c r="BU246" s="73">
        <f t="shared" si="447"/>
        <v>30.965581233990005</v>
      </c>
      <c r="BV246" s="73">
        <f t="shared" si="448"/>
        <v>0</v>
      </c>
      <c r="BW246" s="73">
        <f t="shared" si="449"/>
        <v>0</v>
      </c>
      <c r="BX246" s="73">
        <f t="shared" si="450"/>
        <v>0</v>
      </c>
      <c r="BY246" s="73">
        <f t="shared" si="451"/>
        <v>0</v>
      </c>
      <c r="BZ246" s="74">
        <f t="shared" si="452"/>
        <v>99.057190518706122</v>
      </c>
      <c r="CB246" s="75">
        <f t="shared" si="401"/>
        <v>99.057190518706122</v>
      </c>
      <c r="CE246" s="8"/>
      <c r="CJ246" s="70">
        <f t="shared" si="437"/>
        <v>8.4376949871511897E-15</v>
      </c>
      <c r="CL246" s="163"/>
      <c r="CM246" s="68"/>
      <c r="CN246" s="20">
        <v>60.5</v>
      </c>
      <c r="CQ246" s="177">
        <f t="shared" si="402"/>
        <v>91.888400000000004</v>
      </c>
      <c r="CR246" s="177">
        <f t="shared" si="403"/>
        <v>-4.1045999999999907</v>
      </c>
    </row>
    <row r="247" spans="2:96" ht="56.25" x14ac:dyDescent="0.3">
      <c r="B247" s="51" t="s">
        <v>117</v>
      </c>
      <c r="C247" s="76" t="s">
        <v>473</v>
      </c>
      <c r="D247" s="28" t="s">
        <v>485</v>
      </c>
      <c r="E247" s="21" t="s">
        <v>487</v>
      </c>
      <c r="F247" s="21">
        <f t="shared" si="415"/>
        <v>2021</v>
      </c>
      <c r="G247" s="46">
        <f t="shared" si="416"/>
        <v>2021</v>
      </c>
      <c r="H247" s="46">
        <f t="shared" si="417"/>
        <v>2021</v>
      </c>
      <c r="I247" s="22" t="s">
        <v>131</v>
      </c>
      <c r="J247" s="20">
        <f t="shared" si="459"/>
        <v>6.4809999999999999</v>
      </c>
      <c r="K247" s="20">
        <v>0</v>
      </c>
      <c r="L247" s="20">
        <f>M247+N247+O247+P247</f>
        <v>6.9</v>
      </c>
      <c r="M247" s="20">
        <v>0.621</v>
      </c>
      <c r="N247" s="20">
        <v>1.518</v>
      </c>
      <c r="O247" s="20">
        <v>4.4850000000000003</v>
      </c>
      <c r="P247" s="20">
        <v>0.27600000000000002</v>
      </c>
      <c r="Q247" s="20">
        <v>6.4809999999999999</v>
      </c>
      <c r="R247" s="20">
        <f>0.09*Q247</f>
        <v>0.58328999999999998</v>
      </c>
      <c r="S247" s="20">
        <f>0.22*Q247</f>
        <v>1.4258200000000001</v>
      </c>
      <c r="T247" s="20">
        <f>0.65*Q247</f>
        <v>4.21265</v>
      </c>
      <c r="U247" s="20">
        <f>0.04*Q247</f>
        <v>0.25924000000000003</v>
      </c>
      <c r="V247" s="20">
        <v>0</v>
      </c>
      <c r="W247" s="20">
        <f>L247-K247</f>
        <v>6.9</v>
      </c>
      <c r="X247" s="20"/>
      <c r="Y247" s="20">
        <f>W247-(AB247+AD247+AF247)</f>
        <v>0</v>
      </c>
      <c r="Z247" s="28"/>
      <c r="AA247" s="20">
        <f>Q247-(K247+AC247+AE247+AG247)</f>
        <v>0</v>
      </c>
      <c r="AB247" s="20">
        <v>0</v>
      </c>
      <c r="AC247" s="20">
        <v>0</v>
      </c>
      <c r="AD247" s="20"/>
      <c r="AE247" s="20"/>
      <c r="AF247" s="20">
        <v>6.9</v>
      </c>
      <c r="AG247" s="20">
        <v>6.4809999999999999</v>
      </c>
      <c r="AH247" s="20"/>
      <c r="AI247" s="20"/>
      <c r="AJ247" s="20"/>
      <c r="AK247" s="20"/>
      <c r="AL247" s="20"/>
      <c r="AM247" s="20"/>
      <c r="AN247" s="20">
        <f>SUM(AD247+AF247+AH247+AJ247+AL247)</f>
        <v>6.9</v>
      </c>
      <c r="AO247" s="20">
        <f>SUM(AE247+AG247+AI247+AK247+AM247)</f>
        <v>6.4809999999999999</v>
      </c>
      <c r="AP247" s="94"/>
      <c r="AQ247" s="86"/>
      <c r="AR247" s="85">
        <f>L247-(K247+AB247+AD247+AF247+AH247+AJ247+AL247)</f>
        <v>0</v>
      </c>
      <c r="AS247" s="85">
        <f>Q247-(K247+AC247+AE247+AG247+AI247+AK247+AM247)</f>
        <v>0</v>
      </c>
      <c r="AT247" s="113">
        <f t="shared" si="454"/>
        <v>-0.41900000000000048</v>
      </c>
      <c r="AV247" s="105">
        <f t="shared" si="453"/>
        <v>0</v>
      </c>
      <c r="AX247" s="31">
        <f t="shared" si="460"/>
        <v>0</v>
      </c>
      <c r="AY247" s="15"/>
      <c r="AZ247" s="118">
        <v>6.4809999999999999</v>
      </c>
      <c r="BA247" s="118"/>
      <c r="BB247" s="118"/>
      <c r="BC247" s="118"/>
      <c r="BD247" s="8"/>
      <c r="BE247" s="118">
        <f t="shared" si="409"/>
        <v>0</v>
      </c>
      <c r="BF247" s="118">
        <f t="shared" si="410"/>
        <v>0</v>
      </c>
      <c r="BG247" s="118">
        <f t="shared" si="411"/>
        <v>0</v>
      </c>
      <c r="BH247" s="118">
        <f t="shared" si="412"/>
        <v>0</v>
      </c>
      <c r="BI247" s="122">
        <f t="shared" si="413"/>
        <v>0</v>
      </c>
      <c r="BJ247" s="118">
        <f t="shared" si="426"/>
        <v>0</v>
      </c>
      <c r="BK247" s="108">
        <v>2021</v>
      </c>
      <c r="BL247" s="8" t="b">
        <f t="shared" si="427"/>
        <v>1</v>
      </c>
      <c r="BM247" s="128">
        <f t="shared" si="400"/>
        <v>6.4809999999999999</v>
      </c>
      <c r="BN247" s="129">
        <f t="shared" si="352"/>
        <v>0</v>
      </c>
      <c r="BR247" s="73">
        <f>K247/$BR$15</f>
        <v>0</v>
      </c>
      <c r="BS247" s="73"/>
      <c r="BT247" s="73"/>
      <c r="BU247" s="73"/>
      <c r="BV247" s="73"/>
      <c r="BW247" s="73"/>
      <c r="BX247" s="73"/>
      <c r="BY247" s="73">
        <f>(Q247-K247-AC247-AE247-AG247-AI247-AK247-AM247)/$BY$15</f>
        <v>0</v>
      </c>
      <c r="BZ247" s="74"/>
      <c r="CB247" s="75">
        <f>((Q247-(K247+AC247+AE247+AG247+AI247+AK247+AM247))/$BY$15+K247/$BR$15+AC247/$BS$15+AE247/$BT$15+AG247/$BU$15+AI247/$BV$15+AK247/$BW$15+AM247/$BX$15)*1.2</f>
        <v>6.8091358960921475</v>
      </c>
      <c r="CE247" s="8"/>
      <c r="CJ247" s="70">
        <f>Q247-R247-S247-T247-U247</f>
        <v>0</v>
      </c>
      <c r="CL247" s="163"/>
      <c r="CM247" s="68"/>
      <c r="CN247" s="20"/>
      <c r="CQ247" s="177">
        <f t="shared" si="402"/>
        <v>6.4809999999999999</v>
      </c>
      <c r="CR247" s="177">
        <f t="shared" si="403"/>
        <v>-0.41900000000000048</v>
      </c>
    </row>
    <row r="248" spans="2:96" ht="56.25" x14ac:dyDescent="0.3">
      <c r="B248" s="51" t="s">
        <v>117</v>
      </c>
      <c r="C248" s="76" t="s">
        <v>472</v>
      </c>
      <c r="D248" s="28" t="s">
        <v>347</v>
      </c>
      <c r="E248" s="21" t="s">
        <v>487</v>
      </c>
      <c r="F248" s="21">
        <f t="shared" si="415"/>
        <v>2021</v>
      </c>
      <c r="G248" s="46">
        <f t="shared" si="416"/>
        <v>2021</v>
      </c>
      <c r="H248" s="46">
        <f t="shared" si="417"/>
        <v>2021</v>
      </c>
      <c r="I248" s="22" t="s">
        <v>131</v>
      </c>
      <c r="J248" s="20">
        <f t="shared" si="459"/>
        <v>41.053800000000003</v>
      </c>
      <c r="K248" s="20">
        <v>0</v>
      </c>
      <c r="L248" s="20">
        <f t="shared" si="455"/>
        <v>40.211600000000011</v>
      </c>
      <c r="M248" s="20">
        <v>3.6190440000000006</v>
      </c>
      <c r="N248" s="20">
        <v>8.8459675290697692</v>
      </c>
      <c r="O248" s="20">
        <v>26.135786587209306</v>
      </c>
      <c r="P248" s="20">
        <v>1.6108018837209304</v>
      </c>
      <c r="Q248" s="20">
        <v>41.053800000000003</v>
      </c>
      <c r="R248" s="20">
        <f t="shared" si="442"/>
        <v>3.6948419999999995</v>
      </c>
      <c r="S248" s="20">
        <f t="shared" si="443"/>
        <v>9.0312392877906973</v>
      </c>
      <c r="T248" s="20">
        <f t="shared" si="444"/>
        <v>26.683179863372089</v>
      </c>
      <c r="U248" s="20">
        <f t="shared" si="445"/>
        <v>1.644538848837209</v>
      </c>
      <c r="V248" s="20">
        <v>0</v>
      </c>
      <c r="W248" s="20">
        <f t="shared" si="344"/>
        <v>40.211600000000011</v>
      </c>
      <c r="X248" s="20"/>
      <c r="Y248" s="20">
        <f t="shared" si="423"/>
        <v>0</v>
      </c>
      <c r="Z248" s="28"/>
      <c r="AA248" s="20">
        <f t="shared" si="424"/>
        <v>0</v>
      </c>
      <c r="AB248" s="20">
        <v>0</v>
      </c>
      <c r="AC248" s="20">
        <v>0</v>
      </c>
      <c r="AD248" s="20"/>
      <c r="AE248" s="20"/>
      <c r="AF248" s="20">
        <v>40.211600000000004</v>
      </c>
      <c r="AG248" s="20">
        <v>41.053800000000003</v>
      </c>
      <c r="AH248" s="20"/>
      <c r="AI248" s="20"/>
      <c r="AJ248" s="20"/>
      <c r="AK248" s="20"/>
      <c r="AL248" s="20"/>
      <c r="AM248" s="20"/>
      <c r="AN248" s="20">
        <f t="shared" si="456"/>
        <v>40.211600000000004</v>
      </c>
      <c r="AO248" s="20">
        <f t="shared" si="457"/>
        <v>41.053800000000003</v>
      </c>
      <c r="AP248" s="94" t="s">
        <v>482</v>
      </c>
      <c r="AQ248" s="86"/>
      <c r="AR248" s="85">
        <f t="shared" si="438"/>
        <v>0</v>
      </c>
      <c r="AS248" s="85">
        <f t="shared" si="439"/>
        <v>0</v>
      </c>
      <c r="AT248" s="113">
        <f t="shared" si="454"/>
        <v>0.84219999999999118</v>
      </c>
      <c r="AV248" s="105">
        <f t="shared" si="453"/>
        <v>0</v>
      </c>
      <c r="AX248" s="31">
        <f t="shared" si="460"/>
        <v>0</v>
      </c>
      <c r="AY248" s="15"/>
      <c r="AZ248" s="118">
        <v>41.053800000000003</v>
      </c>
      <c r="BA248" s="118"/>
      <c r="BB248" s="118"/>
      <c r="BC248" s="118"/>
      <c r="BD248" s="8"/>
      <c r="BE248" s="118">
        <f t="shared" si="409"/>
        <v>0</v>
      </c>
      <c r="BF248" s="118">
        <f t="shared" si="410"/>
        <v>0</v>
      </c>
      <c r="BG248" s="118">
        <f t="shared" si="411"/>
        <v>0</v>
      </c>
      <c r="BH248" s="118">
        <f t="shared" si="412"/>
        <v>0</v>
      </c>
      <c r="BI248" s="122">
        <f t="shared" si="413"/>
        <v>0</v>
      </c>
      <c r="BJ248" s="118">
        <f t="shared" si="426"/>
        <v>0</v>
      </c>
      <c r="BK248" s="108">
        <v>2021</v>
      </c>
      <c r="BL248" s="8" t="b">
        <f t="shared" si="427"/>
        <v>1</v>
      </c>
      <c r="BM248" s="128">
        <f t="shared" si="400"/>
        <v>41.053800000000003</v>
      </c>
      <c r="BN248" s="129">
        <f t="shared" si="352"/>
        <v>0</v>
      </c>
      <c r="BR248" s="73">
        <f t="shared" si="428"/>
        <v>0</v>
      </c>
      <c r="BS248" s="73">
        <f t="shared" si="429"/>
        <v>0</v>
      </c>
      <c r="BT248" s="73">
        <f t="shared" si="446"/>
        <v>0</v>
      </c>
      <c r="BU248" s="73">
        <f t="shared" si="447"/>
        <v>35.943643374349101</v>
      </c>
      <c r="BV248" s="73">
        <f t="shared" si="448"/>
        <v>0</v>
      </c>
      <c r="BW248" s="73">
        <f t="shared" si="449"/>
        <v>0</v>
      </c>
      <c r="BX248" s="73">
        <f t="shared" si="450"/>
        <v>0</v>
      </c>
      <c r="BY248" s="73">
        <f t="shared" si="451"/>
        <v>0</v>
      </c>
      <c r="BZ248" s="74">
        <f t="shared" si="452"/>
        <v>43.132372049218922</v>
      </c>
      <c r="CB248" s="75">
        <f t="shared" si="401"/>
        <v>43.132372049218922</v>
      </c>
      <c r="CE248" s="8"/>
      <c r="CJ248" s="70">
        <f t="shared" si="437"/>
        <v>5.5511151231257827E-15</v>
      </c>
      <c r="CL248" s="163"/>
      <c r="CM248" s="68"/>
      <c r="CN248" s="20"/>
      <c r="CQ248" s="177">
        <f t="shared" si="402"/>
        <v>41.053800000000003</v>
      </c>
      <c r="CR248" s="177">
        <f t="shared" si="403"/>
        <v>0.84219999999999828</v>
      </c>
    </row>
    <row r="249" spans="2:96" ht="56.25" x14ac:dyDescent="0.3">
      <c r="B249" s="51" t="s">
        <v>117</v>
      </c>
      <c r="C249" s="76" t="s">
        <v>474</v>
      </c>
      <c r="D249" s="28" t="s">
        <v>440</v>
      </c>
      <c r="E249" s="21" t="s">
        <v>487</v>
      </c>
      <c r="F249" s="21">
        <f t="shared" si="415"/>
        <v>2021</v>
      </c>
      <c r="G249" s="46">
        <f t="shared" si="416"/>
        <v>2021</v>
      </c>
      <c r="H249" s="46">
        <f t="shared" si="417"/>
        <v>2021</v>
      </c>
      <c r="I249" s="22" t="s">
        <v>131</v>
      </c>
      <c r="J249" s="20">
        <f t="shared" si="459"/>
        <v>21.2822</v>
      </c>
      <c r="K249" s="20">
        <v>0</v>
      </c>
      <c r="L249" s="20">
        <f t="shared" si="455"/>
        <v>21.215700000000002</v>
      </c>
      <c r="M249" s="20">
        <v>1.909413</v>
      </c>
      <c r="N249" s="20">
        <v>4.6674540000000002</v>
      </c>
      <c r="O249" s="20">
        <v>13.790205000000002</v>
      </c>
      <c r="P249" s="20">
        <v>0.84862800000000005</v>
      </c>
      <c r="Q249" s="20">
        <v>21.2822</v>
      </c>
      <c r="R249" s="20">
        <f>0.09*Q249</f>
        <v>1.9153979999999999</v>
      </c>
      <c r="S249" s="20">
        <f>0.22*Q249</f>
        <v>4.6820839999999997</v>
      </c>
      <c r="T249" s="20">
        <f>0.65*Q249</f>
        <v>13.83343</v>
      </c>
      <c r="U249" s="20">
        <f>0.04*Q249</f>
        <v>0.85128800000000004</v>
      </c>
      <c r="V249" s="20">
        <v>0</v>
      </c>
      <c r="W249" s="20">
        <f t="shared" si="344"/>
        <v>21.215700000000002</v>
      </c>
      <c r="X249" s="20"/>
      <c r="Y249" s="20">
        <f t="shared" si="423"/>
        <v>0</v>
      </c>
      <c r="Z249" s="28"/>
      <c r="AA249" s="20">
        <f t="shared" si="424"/>
        <v>0</v>
      </c>
      <c r="AB249" s="20">
        <v>0</v>
      </c>
      <c r="AC249" s="20">
        <v>0</v>
      </c>
      <c r="AD249" s="20"/>
      <c r="AE249" s="20"/>
      <c r="AF249" s="20">
        <v>21.215700000000002</v>
      </c>
      <c r="AG249" s="20">
        <v>21.2822</v>
      </c>
      <c r="AH249" s="20"/>
      <c r="AI249" s="20"/>
      <c r="AJ249" s="20"/>
      <c r="AK249" s="20"/>
      <c r="AL249" s="20"/>
      <c r="AM249" s="20"/>
      <c r="AN249" s="20">
        <f t="shared" si="456"/>
        <v>21.215700000000002</v>
      </c>
      <c r="AO249" s="20">
        <f t="shared" si="457"/>
        <v>21.2822</v>
      </c>
      <c r="AP249" s="94"/>
      <c r="AQ249" s="86"/>
      <c r="AR249" s="85">
        <f t="shared" si="438"/>
        <v>0</v>
      </c>
      <c r="AS249" s="85">
        <f t="shared" si="439"/>
        <v>0</v>
      </c>
      <c r="AT249" s="113">
        <f t="shared" si="454"/>
        <v>6.6499999999997783E-2</v>
      </c>
      <c r="AV249" s="105">
        <f t="shared" si="453"/>
        <v>0</v>
      </c>
      <c r="AX249" s="31">
        <f t="shared" si="460"/>
        <v>0</v>
      </c>
      <c r="AY249" s="15"/>
      <c r="AZ249" s="118">
        <v>21.2822</v>
      </c>
      <c r="BA249" s="118"/>
      <c r="BB249" s="118"/>
      <c r="BC249" s="118"/>
      <c r="BD249" s="8"/>
      <c r="BE249" s="118">
        <f t="shared" si="409"/>
        <v>0</v>
      </c>
      <c r="BF249" s="118">
        <f t="shared" si="410"/>
        <v>0</v>
      </c>
      <c r="BG249" s="118">
        <f t="shared" si="411"/>
        <v>0</v>
      </c>
      <c r="BH249" s="118">
        <f t="shared" si="412"/>
        <v>0</v>
      </c>
      <c r="BI249" s="122">
        <f t="shared" si="413"/>
        <v>0</v>
      </c>
      <c r="BJ249" s="118">
        <f t="shared" si="426"/>
        <v>0</v>
      </c>
      <c r="BK249" s="108">
        <v>2021</v>
      </c>
      <c r="BL249" s="8" t="b">
        <f t="shared" si="427"/>
        <v>1</v>
      </c>
      <c r="BM249" s="128">
        <f t="shared" si="400"/>
        <v>21.2822</v>
      </c>
      <c r="BN249" s="129">
        <f t="shared" si="352"/>
        <v>0</v>
      </c>
      <c r="BR249" s="73">
        <f t="shared" si="428"/>
        <v>0</v>
      </c>
      <c r="BS249" s="73">
        <f t="shared" si="429"/>
        <v>0</v>
      </c>
      <c r="BT249" s="73">
        <f t="shared" si="446"/>
        <v>0</v>
      </c>
      <c r="BU249" s="73">
        <f t="shared" si="447"/>
        <v>18.633105998021435</v>
      </c>
      <c r="BV249" s="73">
        <f t="shared" si="448"/>
        <v>0</v>
      </c>
      <c r="BW249" s="73">
        <f t="shared" si="449"/>
        <v>0</v>
      </c>
      <c r="BX249" s="73">
        <f t="shared" si="450"/>
        <v>0</v>
      </c>
      <c r="BY249" s="73">
        <f t="shared" si="451"/>
        <v>0</v>
      </c>
      <c r="BZ249" s="74">
        <f t="shared" ref="BZ249:BZ263" si="461">SUM(BR249:BY249)*1.2</f>
        <v>22.35972719762572</v>
      </c>
      <c r="CB249" s="75">
        <f t="shared" si="401"/>
        <v>22.35972719762572</v>
      </c>
      <c r="CE249" s="8"/>
      <c r="CJ249" s="70">
        <f t="shared" si="437"/>
        <v>0</v>
      </c>
      <c r="CL249" s="163"/>
      <c r="CM249" s="68"/>
      <c r="CN249" s="20"/>
      <c r="CQ249" s="177">
        <f t="shared" si="402"/>
        <v>21.2822</v>
      </c>
      <c r="CR249" s="177">
        <f t="shared" si="403"/>
        <v>6.6499999999997783E-2</v>
      </c>
    </row>
    <row r="250" spans="2:96" ht="56.25" x14ac:dyDescent="0.3">
      <c r="B250" s="51" t="s">
        <v>117</v>
      </c>
      <c r="C250" s="76" t="s">
        <v>475</v>
      </c>
      <c r="D250" s="28" t="s">
        <v>441</v>
      </c>
      <c r="E250" s="21" t="s">
        <v>487</v>
      </c>
      <c r="F250" s="21">
        <f t="shared" si="415"/>
        <v>2021</v>
      </c>
      <c r="G250" s="46">
        <f t="shared" si="416"/>
        <v>2021</v>
      </c>
      <c r="H250" s="46">
        <f t="shared" si="417"/>
        <v>2021</v>
      </c>
      <c r="I250" s="22" t="s">
        <v>131</v>
      </c>
      <c r="J250" s="20">
        <f t="shared" si="459"/>
        <v>26.879000000000001</v>
      </c>
      <c r="K250" s="20">
        <v>0</v>
      </c>
      <c r="L250" s="20">
        <f t="shared" si="455"/>
        <v>26.9</v>
      </c>
      <c r="M250" s="20">
        <v>2.4209999999999998</v>
      </c>
      <c r="N250" s="20">
        <v>5.9180000000000001</v>
      </c>
      <c r="O250" s="20">
        <v>17.484999999999999</v>
      </c>
      <c r="P250" s="20">
        <v>1.0760000000000001</v>
      </c>
      <c r="Q250" s="20">
        <v>26.879000000000001</v>
      </c>
      <c r="R250" s="20">
        <f>0.09*Q250</f>
        <v>2.4191099999999999</v>
      </c>
      <c r="S250" s="20">
        <f>0.22*Q250</f>
        <v>5.9133800000000001</v>
      </c>
      <c r="T250" s="20">
        <f>0.65*Q250</f>
        <v>17.471350000000001</v>
      </c>
      <c r="U250" s="20">
        <f>0.04*Q250</f>
        <v>1.0751600000000001</v>
      </c>
      <c r="V250" s="20">
        <v>0</v>
      </c>
      <c r="W250" s="20">
        <f t="shared" si="344"/>
        <v>26.9</v>
      </c>
      <c r="X250" s="20"/>
      <c r="Y250" s="20">
        <f t="shared" si="423"/>
        <v>0</v>
      </c>
      <c r="Z250" s="28"/>
      <c r="AA250" s="20">
        <f t="shared" si="424"/>
        <v>0</v>
      </c>
      <c r="AB250" s="20">
        <v>0</v>
      </c>
      <c r="AC250" s="20">
        <v>0</v>
      </c>
      <c r="AD250" s="20"/>
      <c r="AE250" s="20"/>
      <c r="AF250" s="20">
        <v>26.9</v>
      </c>
      <c r="AG250" s="20">
        <v>26.879000000000001</v>
      </c>
      <c r="AH250" s="20"/>
      <c r="AI250" s="20"/>
      <c r="AJ250" s="20"/>
      <c r="AK250" s="20"/>
      <c r="AL250" s="20"/>
      <c r="AM250" s="20"/>
      <c r="AN250" s="20">
        <f t="shared" si="456"/>
        <v>26.9</v>
      </c>
      <c r="AO250" s="20">
        <f t="shared" si="457"/>
        <v>26.879000000000001</v>
      </c>
      <c r="AP250" s="94"/>
      <c r="AQ250" s="86"/>
      <c r="AR250" s="85">
        <f t="shared" si="438"/>
        <v>0</v>
      </c>
      <c r="AS250" s="85">
        <f t="shared" si="439"/>
        <v>0</v>
      </c>
      <c r="AT250" s="113">
        <f t="shared" si="454"/>
        <v>-2.0999999999997243E-2</v>
      </c>
      <c r="AV250" s="105">
        <f t="shared" si="453"/>
        <v>0</v>
      </c>
      <c r="AX250" s="31">
        <f t="shared" si="460"/>
        <v>0</v>
      </c>
      <c r="AY250" s="15"/>
      <c r="AZ250" s="118">
        <v>26.879000000000001</v>
      </c>
      <c r="BA250" s="118"/>
      <c r="BB250" s="118"/>
      <c r="BC250" s="118"/>
      <c r="BD250" s="8"/>
      <c r="BE250" s="118">
        <f t="shared" si="409"/>
        <v>0</v>
      </c>
      <c r="BF250" s="118">
        <f t="shared" si="410"/>
        <v>0</v>
      </c>
      <c r="BG250" s="118">
        <f t="shared" si="411"/>
        <v>0</v>
      </c>
      <c r="BH250" s="118">
        <f t="shared" si="412"/>
        <v>0</v>
      </c>
      <c r="BI250" s="122">
        <f t="shared" si="413"/>
        <v>0</v>
      </c>
      <c r="BJ250" s="118">
        <f t="shared" si="426"/>
        <v>0</v>
      </c>
      <c r="BK250" s="108">
        <v>2021</v>
      </c>
      <c r="BL250" s="8" t="b">
        <f t="shared" si="427"/>
        <v>1</v>
      </c>
      <c r="BM250" s="128">
        <f t="shared" si="400"/>
        <v>26.879000000000001</v>
      </c>
      <c r="BN250" s="129">
        <f t="shared" si="352"/>
        <v>0</v>
      </c>
      <c r="BR250" s="73">
        <f t="shared" si="428"/>
        <v>0</v>
      </c>
      <c r="BS250" s="73">
        <f t="shared" si="429"/>
        <v>0</v>
      </c>
      <c r="BT250" s="73">
        <f t="shared" si="446"/>
        <v>0</v>
      </c>
      <c r="BU250" s="73">
        <f t="shared" si="447"/>
        <v>23.533246380581808</v>
      </c>
      <c r="BV250" s="73">
        <f t="shared" si="448"/>
        <v>0</v>
      </c>
      <c r="BW250" s="73">
        <f t="shared" si="449"/>
        <v>0</v>
      </c>
      <c r="BX250" s="73">
        <f t="shared" si="450"/>
        <v>0</v>
      </c>
      <c r="BY250" s="73">
        <f t="shared" si="451"/>
        <v>0</v>
      </c>
      <c r="BZ250" s="74">
        <f t="shared" si="461"/>
        <v>28.23989565669817</v>
      </c>
      <c r="CB250" s="75">
        <f t="shared" si="401"/>
        <v>28.23989565669817</v>
      </c>
      <c r="CE250" s="8"/>
      <c r="CJ250" s="70">
        <f t="shared" si="437"/>
        <v>0</v>
      </c>
      <c r="CL250" s="163"/>
      <c r="CM250" s="68"/>
      <c r="CN250" s="20"/>
      <c r="CQ250" s="177">
        <f t="shared" si="402"/>
        <v>26.879000000000001</v>
      </c>
      <c r="CR250" s="177">
        <f t="shared" si="403"/>
        <v>-2.0999999999997243E-2</v>
      </c>
    </row>
    <row r="251" spans="2:96" ht="37.5" x14ac:dyDescent="0.3">
      <c r="B251" s="51" t="s">
        <v>117</v>
      </c>
      <c r="C251" s="76" t="s">
        <v>476</v>
      </c>
      <c r="D251" s="28" t="s">
        <v>350</v>
      </c>
      <c r="E251" s="21" t="s">
        <v>487</v>
      </c>
      <c r="F251" s="21">
        <f t="shared" si="415"/>
        <v>2020</v>
      </c>
      <c r="G251" s="46">
        <f t="shared" si="416"/>
        <v>2025</v>
      </c>
      <c r="H251" s="46">
        <f t="shared" si="417"/>
        <v>2021</v>
      </c>
      <c r="I251" s="22" t="s">
        <v>131</v>
      </c>
      <c r="J251" s="20">
        <f t="shared" si="459"/>
        <v>53.429399999999994</v>
      </c>
      <c r="K251" s="20">
        <v>0</v>
      </c>
      <c r="L251" s="20">
        <f t="shared" si="455"/>
        <v>54.973799999999997</v>
      </c>
      <c r="M251" s="20">
        <v>4.9476420000000001</v>
      </c>
      <c r="N251" s="20">
        <v>12.094235999999999</v>
      </c>
      <c r="O251" s="20">
        <v>35.732970000000002</v>
      </c>
      <c r="P251" s="20">
        <v>2.1989519999999998</v>
      </c>
      <c r="Q251" s="20">
        <v>53.429399999999994</v>
      </c>
      <c r="R251" s="20">
        <f>M251/L251*Q251</f>
        <v>4.8086460000000004</v>
      </c>
      <c r="S251" s="20">
        <f>N251/L251*Q251</f>
        <v>11.754467999999997</v>
      </c>
      <c r="T251" s="20">
        <f>O251/L251*Q251</f>
        <v>34.729109999999999</v>
      </c>
      <c r="U251" s="20">
        <f>P251/L251*Q251</f>
        <v>2.1371759999999997</v>
      </c>
      <c r="V251" s="20">
        <v>0</v>
      </c>
      <c r="W251" s="20">
        <f t="shared" si="344"/>
        <v>54.973799999999997</v>
      </c>
      <c r="X251" s="20"/>
      <c r="Y251" s="20">
        <f t="shared" si="423"/>
        <v>32.473799999999997</v>
      </c>
      <c r="Z251" s="28"/>
      <c r="AA251" s="20">
        <f t="shared" si="424"/>
        <v>0</v>
      </c>
      <c r="AB251" s="20">
        <v>0</v>
      </c>
      <c r="AC251" s="20">
        <v>0</v>
      </c>
      <c r="AD251" s="174">
        <v>3.5</v>
      </c>
      <c r="AE251" s="20">
        <v>35.973799999999997</v>
      </c>
      <c r="AF251" s="20">
        <v>19</v>
      </c>
      <c r="AG251" s="20">
        <v>17.455599999999997</v>
      </c>
      <c r="AH251" s="20"/>
      <c r="AI251" s="20"/>
      <c r="AJ251" s="20"/>
      <c r="AK251" s="20"/>
      <c r="AL251" s="20"/>
      <c r="AM251" s="20"/>
      <c r="AN251" s="20">
        <f t="shared" si="456"/>
        <v>22.5</v>
      </c>
      <c r="AO251" s="20">
        <f t="shared" si="457"/>
        <v>53.429399999999994</v>
      </c>
      <c r="AP251" s="94" t="s">
        <v>549</v>
      </c>
      <c r="AQ251" s="86"/>
      <c r="AR251" s="85">
        <f t="shared" si="438"/>
        <v>32.473799999999997</v>
      </c>
      <c r="AS251" s="85">
        <f t="shared" si="439"/>
        <v>0</v>
      </c>
      <c r="AT251" s="113">
        <f t="shared" si="454"/>
        <v>-1.5444000000000031</v>
      </c>
      <c r="AV251" s="105">
        <f t="shared" si="453"/>
        <v>0</v>
      </c>
      <c r="AX251" s="31">
        <f t="shared" si="460"/>
        <v>0</v>
      </c>
      <c r="AY251" s="15"/>
      <c r="AZ251" s="118">
        <v>17.455599999999997</v>
      </c>
      <c r="BA251" s="118"/>
      <c r="BB251" s="118"/>
      <c r="BC251" s="118"/>
      <c r="BD251" s="8"/>
      <c r="BE251" s="118">
        <f t="shared" si="409"/>
        <v>0</v>
      </c>
      <c r="BF251" s="118">
        <f t="shared" si="410"/>
        <v>0</v>
      </c>
      <c r="BG251" s="118">
        <f t="shared" si="411"/>
        <v>0</v>
      </c>
      <c r="BH251" s="118">
        <f t="shared" si="412"/>
        <v>0</v>
      </c>
      <c r="BI251" s="122">
        <f t="shared" si="413"/>
        <v>0</v>
      </c>
      <c r="BJ251" s="118">
        <f t="shared" si="426"/>
        <v>0</v>
      </c>
      <c r="BK251" s="108">
        <v>2021</v>
      </c>
      <c r="BL251" s="8" t="b">
        <f t="shared" si="427"/>
        <v>1</v>
      </c>
      <c r="BM251" s="128">
        <f t="shared" si="400"/>
        <v>53.429399999999994</v>
      </c>
      <c r="BN251" s="129">
        <f t="shared" si="352"/>
        <v>0</v>
      </c>
      <c r="BR251" s="73">
        <f t="shared" si="428"/>
        <v>0</v>
      </c>
      <c r="BS251" s="73">
        <f t="shared" si="429"/>
        <v>0</v>
      </c>
      <c r="BT251" s="73">
        <f t="shared" si="446"/>
        <v>32.83068309329402</v>
      </c>
      <c r="BU251" s="73">
        <f t="shared" si="447"/>
        <v>15.282820622823904</v>
      </c>
      <c r="BV251" s="73">
        <f t="shared" si="448"/>
        <v>0</v>
      </c>
      <c r="BW251" s="73">
        <f t="shared" si="449"/>
        <v>0</v>
      </c>
      <c r="BX251" s="73">
        <f t="shared" si="450"/>
        <v>0</v>
      </c>
      <c r="BY251" s="73">
        <f t="shared" si="451"/>
        <v>0</v>
      </c>
      <c r="BZ251" s="74">
        <f t="shared" si="461"/>
        <v>57.736204459341508</v>
      </c>
      <c r="CB251" s="75">
        <f t="shared" si="401"/>
        <v>57.736204459341508</v>
      </c>
      <c r="CE251" s="8"/>
      <c r="CJ251" s="70">
        <f t="shared" si="437"/>
        <v>0</v>
      </c>
      <c r="CL251" s="163"/>
      <c r="CM251" s="68"/>
      <c r="CN251" s="20">
        <v>3.5</v>
      </c>
      <c r="CQ251" s="177">
        <f t="shared" si="402"/>
        <v>53.429399999999994</v>
      </c>
      <c r="CR251" s="177">
        <f t="shared" si="403"/>
        <v>30.929399999999994</v>
      </c>
    </row>
    <row r="252" spans="2:96" ht="56.25" x14ac:dyDescent="0.3">
      <c r="B252" s="51" t="s">
        <v>117</v>
      </c>
      <c r="C252" s="76" t="s">
        <v>604</v>
      </c>
      <c r="D252" s="28" t="s">
        <v>510</v>
      </c>
      <c r="E252" s="21" t="s">
        <v>489</v>
      </c>
      <c r="F252" s="21">
        <f t="shared" si="415"/>
        <v>2020</v>
      </c>
      <c r="G252" s="46">
        <f t="shared" si="416"/>
        <v>2025</v>
      </c>
      <c r="H252" s="46">
        <f t="shared" si="417"/>
        <v>2024</v>
      </c>
      <c r="I252" s="22" t="s">
        <v>131</v>
      </c>
      <c r="J252" s="20" t="s">
        <v>131</v>
      </c>
      <c r="K252" s="20">
        <v>0</v>
      </c>
      <c r="L252" s="20">
        <f t="shared" si="455"/>
        <v>630.16219999999998</v>
      </c>
      <c r="M252" s="20">
        <v>0</v>
      </c>
      <c r="N252" s="20">
        <v>0</v>
      </c>
      <c r="O252" s="20">
        <v>630.16219999999998</v>
      </c>
      <c r="P252" s="20">
        <v>0</v>
      </c>
      <c r="Q252" s="20">
        <v>406.46870000000001</v>
      </c>
      <c r="R252" s="20">
        <v>0</v>
      </c>
      <c r="S252" s="20">
        <v>0</v>
      </c>
      <c r="T252" s="20">
        <f>Q252</f>
        <v>406.46870000000001</v>
      </c>
      <c r="U252" s="20">
        <v>0</v>
      </c>
      <c r="V252" s="20">
        <v>0</v>
      </c>
      <c r="W252" s="20">
        <f t="shared" si="344"/>
        <v>630.16219999999998</v>
      </c>
      <c r="X252" s="20"/>
      <c r="Y252" s="20">
        <f t="shared" si="423"/>
        <v>587.43119999999999</v>
      </c>
      <c r="Z252" s="28"/>
      <c r="AA252" s="20">
        <f t="shared" si="424"/>
        <v>205.03</v>
      </c>
      <c r="AB252" s="20">
        <v>0</v>
      </c>
      <c r="AC252" s="20">
        <v>0</v>
      </c>
      <c r="AD252" s="107">
        <v>0</v>
      </c>
      <c r="AE252" s="20">
        <v>157.43120000000002</v>
      </c>
      <c r="AF252" s="20">
        <v>42.730999999999995</v>
      </c>
      <c r="AG252" s="20">
        <v>44.0075</v>
      </c>
      <c r="AH252" s="20">
        <v>150</v>
      </c>
      <c r="AI252" s="139">
        <v>85.03</v>
      </c>
      <c r="AJ252" s="20">
        <v>140</v>
      </c>
      <c r="AK252" s="20">
        <v>60</v>
      </c>
      <c r="AL252" s="20">
        <v>140</v>
      </c>
      <c r="AM252" s="20">
        <v>60</v>
      </c>
      <c r="AN252" s="20">
        <f t="shared" si="456"/>
        <v>472.73099999999999</v>
      </c>
      <c r="AO252" s="20">
        <f t="shared" si="457"/>
        <v>406.46870000000001</v>
      </c>
      <c r="AP252" s="94" t="s">
        <v>507</v>
      </c>
      <c r="AQ252" s="86"/>
      <c r="AR252" s="85">
        <f t="shared" si="438"/>
        <v>157.43119999999999</v>
      </c>
      <c r="AS252" s="85">
        <f t="shared" si="439"/>
        <v>0</v>
      </c>
      <c r="AT252" s="113">
        <f t="shared" si="454"/>
        <v>-223.69349999999997</v>
      </c>
      <c r="AV252" s="105">
        <f t="shared" si="453"/>
        <v>0</v>
      </c>
      <c r="AX252" s="31"/>
      <c r="AY252" s="15"/>
      <c r="AZ252" s="118">
        <v>44.0075</v>
      </c>
      <c r="BA252" s="118">
        <v>24.73</v>
      </c>
      <c r="BB252" s="118">
        <v>60</v>
      </c>
      <c r="BC252" s="118">
        <v>60</v>
      </c>
      <c r="BD252" s="8"/>
      <c r="BE252" s="118">
        <f t="shared" si="409"/>
        <v>0</v>
      </c>
      <c r="BF252" s="118">
        <f t="shared" si="410"/>
        <v>60.3</v>
      </c>
      <c r="BG252" s="118">
        <f t="shared" si="411"/>
        <v>0</v>
      </c>
      <c r="BH252" s="118">
        <f t="shared" si="412"/>
        <v>0</v>
      </c>
      <c r="BI252" s="122">
        <f t="shared" si="413"/>
        <v>60.3</v>
      </c>
      <c r="BJ252" s="118">
        <f t="shared" si="426"/>
        <v>0</v>
      </c>
      <c r="BK252" s="108">
        <v>2024</v>
      </c>
      <c r="BL252" s="8" t="b">
        <f t="shared" si="427"/>
        <v>1</v>
      </c>
      <c r="BM252" s="128">
        <f t="shared" si="400"/>
        <v>406.46870000000001</v>
      </c>
      <c r="BN252" s="129">
        <f t="shared" si="352"/>
        <v>0</v>
      </c>
      <c r="BR252" s="73">
        <f t="shared" si="428"/>
        <v>0</v>
      </c>
      <c r="BS252" s="73">
        <f t="shared" si="429"/>
        <v>0</v>
      </c>
      <c r="BT252" s="73">
        <f t="shared" si="446"/>
        <v>143.67605969335992</v>
      </c>
      <c r="BU252" s="73">
        <f t="shared" si="447"/>
        <v>38.529682655361206</v>
      </c>
      <c r="BV252" s="73">
        <f t="shared" si="448"/>
        <v>71.363001078998991</v>
      </c>
      <c r="BW252" s="73">
        <f t="shared" si="449"/>
        <v>48.238400135050284</v>
      </c>
      <c r="BX252" s="73">
        <f t="shared" si="450"/>
        <v>46.192061938523146</v>
      </c>
      <c r="BY252" s="73">
        <f t="shared" si="451"/>
        <v>0</v>
      </c>
      <c r="BZ252" s="74">
        <f t="shared" si="461"/>
        <v>417.59904660155223</v>
      </c>
      <c r="CB252" s="75">
        <f t="shared" si="401"/>
        <v>417.59904660155223</v>
      </c>
      <c r="CE252" s="8"/>
      <c r="CJ252" s="70">
        <f t="shared" si="437"/>
        <v>0</v>
      </c>
      <c r="CL252" s="163"/>
      <c r="CM252" s="68"/>
      <c r="CN252" s="20"/>
      <c r="CQ252" s="177">
        <f t="shared" si="402"/>
        <v>631.43870000000004</v>
      </c>
      <c r="CR252" s="177">
        <f t="shared" si="403"/>
        <v>158.70770000000005</v>
      </c>
    </row>
    <row r="253" spans="2:96" ht="37.5" x14ac:dyDescent="0.3">
      <c r="B253" s="51" t="s">
        <v>117</v>
      </c>
      <c r="C253" s="76" t="s">
        <v>605</v>
      </c>
      <c r="D253" s="28" t="s">
        <v>511</v>
      </c>
      <c r="E253" s="21" t="s">
        <v>489</v>
      </c>
      <c r="F253" s="21">
        <f t="shared" si="415"/>
        <v>2020</v>
      </c>
      <c r="G253" s="46">
        <f t="shared" si="416"/>
        <v>2025</v>
      </c>
      <c r="H253" s="46">
        <f t="shared" si="417"/>
        <v>2024</v>
      </c>
      <c r="I253" s="22" t="s">
        <v>131</v>
      </c>
      <c r="J253" s="20" t="s">
        <v>131</v>
      </c>
      <c r="K253" s="20">
        <v>0</v>
      </c>
      <c r="L253" s="20">
        <f t="shared" si="455"/>
        <v>837.78192100000001</v>
      </c>
      <c r="M253" s="20">
        <v>0</v>
      </c>
      <c r="N253" s="20">
        <v>0</v>
      </c>
      <c r="O253" s="20">
        <v>0</v>
      </c>
      <c r="P253" s="20">
        <v>837.78192100000001</v>
      </c>
      <c r="Q253" s="20">
        <v>3401.3200803500004</v>
      </c>
      <c r="R253" s="20">
        <v>0</v>
      </c>
      <c r="S253" s="20">
        <v>0</v>
      </c>
      <c r="T253" s="20">
        <v>0</v>
      </c>
      <c r="U253" s="20">
        <f t="shared" ref="U253:U259" si="462">Q253</f>
        <v>3401.3200803500004</v>
      </c>
      <c r="V253" s="20">
        <v>0</v>
      </c>
      <c r="W253" s="20">
        <f t="shared" ref="W253:W263" si="463">L253-K253</f>
        <v>837.78192100000001</v>
      </c>
      <c r="X253" s="20"/>
      <c r="Y253" s="20">
        <f t="shared" si="423"/>
        <v>330.11410000000001</v>
      </c>
      <c r="Z253" s="28"/>
      <c r="AA253" s="20">
        <f t="shared" si="424"/>
        <v>2566.6990803500003</v>
      </c>
      <c r="AB253" s="20">
        <v>0</v>
      </c>
      <c r="AC253" s="20">
        <v>0</v>
      </c>
      <c r="AD253" s="107">
        <v>0</v>
      </c>
      <c r="AE253" s="20">
        <v>330.11399999999998</v>
      </c>
      <c r="AF253" s="20">
        <v>507.667821</v>
      </c>
      <c r="AG253" s="20">
        <v>504.50700000000001</v>
      </c>
      <c r="AH253" s="20"/>
      <c r="AI253" s="20">
        <f>474.69+1300</f>
        <v>1774.69</v>
      </c>
      <c r="AJ253" s="20"/>
      <c r="AK253" s="20">
        <v>404.50908034999998</v>
      </c>
      <c r="AL253" s="20"/>
      <c r="AM253" s="20">
        <v>387.5</v>
      </c>
      <c r="AN253" s="20">
        <f t="shared" si="456"/>
        <v>507.667821</v>
      </c>
      <c r="AO253" s="20">
        <f t="shared" si="457"/>
        <v>3401.3200803500004</v>
      </c>
      <c r="AP253" s="94" t="s">
        <v>480</v>
      </c>
      <c r="AQ253" s="130"/>
      <c r="AR253" s="85">
        <f t="shared" si="438"/>
        <v>330.11410000000001</v>
      </c>
      <c r="AS253" s="85">
        <f t="shared" si="439"/>
        <v>0</v>
      </c>
      <c r="AT253" s="113">
        <f t="shared" si="454"/>
        <v>2563.5381593500006</v>
      </c>
      <c r="AV253" s="105">
        <f t="shared" si="453"/>
        <v>0</v>
      </c>
      <c r="AX253" s="31"/>
      <c r="AY253" s="15"/>
      <c r="AZ253" s="118">
        <v>504.50700000000001</v>
      </c>
      <c r="BA253" s="118">
        <v>301.31768464000004</v>
      </c>
      <c r="BB253" s="118">
        <v>388.3</v>
      </c>
      <c r="BC253" s="118">
        <v>388.3</v>
      </c>
      <c r="BD253" s="8"/>
      <c r="BE253" s="118">
        <f t="shared" si="409"/>
        <v>0</v>
      </c>
      <c r="BF253" s="118">
        <f t="shared" si="410"/>
        <v>1473.3723153599999</v>
      </c>
      <c r="BG253" s="118">
        <f t="shared" si="411"/>
        <v>16.209080349999965</v>
      </c>
      <c r="BH253" s="118">
        <f t="shared" si="412"/>
        <v>-0.80000000000001137</v>
      </c>
      <c r="BI253" s="122">
        <f t="shared" si="413"/>
        <v>1488.78139571</v>
      </c>
      <c r="BJ253" s="118">
        <f t="shared" si="426"/>
        <v>0</v>
      </c>
      <c r="BK253" s="108">
        <v>2024</v>
      </c>
      <c r="BL253" s="8" t="b">
        <f t="shared" si="427"/>
        <v>1</v>
      </c>
      <c r="BM253" s="128">
        <f t="shared" si="400"/>
        <v>3401.3200803500004</v>
      </c>
      <c r="BN253" s="129">
        <f t="shared" si="352"/>
        <v>0</v>
      </c>
      <c r="BR253" s="73">
        <f t="shared" si="428"/>
        <v>0</v>
      </c>
      <c r="BS253" s="73">
        <f t="shared" si="429"/>
        <v>0</v>
      </c>
      <c r="BT253" s="73">
        <f t="shared" si="446"/>
        <v>301.27115063350726</v>
      </c>
      <c r="BU253" s="73">
        <f t="shared" si="447"/>
        <v>441.70867709841087</v>
      </c>
      <c r="BV253" s="73">
        <f t="shared" si="448"/>
        <v>1489.4414252015608</v>
      </c>
      <c r="BW253" s="73">
        <f t="shared" si="449"/>
        <v>325.21451460307509</v>
      </c>
      <c r="BX253" s="73">
        <f t="shared" si="450"/>
        <v>298.32373335296199</v>
      </c>
      <c r="BY253" s="73">
        <f t="shared" si="451"/>
        <v>1.6762189025344404E-13</v>
      </c>
      <c r="BZ253" s="74">
        <f t="shared" si="461"/>
        <v>3427.1514010674196</v>
      </c>
      <c r="CB253" s="75">
        <f t="shared" si="401"/>
        <v>3427.1514010674196</v>
      </c>
      <c r="CE253" s="8"/>
      <c r="CJ253" s="70">
        <f t="shared" si="437"/>
        <v>0</v>
      </c>
      <c r="CL253" s="163"/>
      <c r="CM253" s="68"/>
      <c r="CN253" s="20"/>
      <c r="CQ253" s="177">
        <f t="shared" si="402"/>
        <v>834.62099999999998</v>
      </c>
      <c r="CR253" s="177">
        <f t="shared" si="403"/>
        <v>326.95317899999998</v>
      </c>
    </row>
    <row r="254" spans="2:96" ht="89.25" customHeight="1" x14ac:dyDescent="0.3">
      <c r="B254" s="51" t="s">
        <v>117</v>
      </c>
      <c r="C254" s="76" t="s">
        <v>582</v>
      </c>
      <c r="D254" s="28" t="s">
        <v>351</v>
      </c>
      <c r="E254" s="21" t="s">
        <v>182</v>
      </c>
      <c r="F254" s="21">
        <f t="shared" si="415"/>
        <v>2020</v>
      </c>
      <c r="G254" s="46">
        <f t="shared" si="416"/>
        <v>2025</v>
      </c>
      <c r="H254" s="46">
        <f t="shared" si="417"/>
        <v>2024</v>
      </c>
      <c r="I254" s="22" t="s">
        <v>131</v>
      </c>
      <c r="J254" s="20" t="s">
        <v>131</v>
      </c>
      <c r="K254" s="20">
        <v>0</v>
      </c>
      <c r="L254" s="20">
        <f t="shared" si="455"/>
        <v>62.287419999999997</v>
      </c>
      <c r="M254" s="20">
        <v>0</v>
      </c>
      <c r="N254" s="20">
        <v>0</v>
      </c>
      <c r="O254" s="20">
        <v>0</v>
      </c>
      <c r="P254" s="20">
        <v>62.287419999999997</v>
      </c>
      <c r="Q254" s="20">
        <v>87.727319999999992</v>
      </c>
      <c r="R254" s="20">
        <v>0</v>
      </c>
      <c r="S254" s="20">
        <v>0</v>
      </c>
      <c r="T254" s="20">
        <v>0</v>
      </c>
      <c r="U254" s="20">
        <f t="shared" si="462"/>
        <v>87.727319999999992</v>
      </c>
      <c r="V254" s="20">
        <v>0</v>
      </c>
      <c r="W254" s="20">
        <f t="shared" si="463"/>
        <v>62.287419999999997</v>
      </c>
      <c r="X254" s="20"/>
      <c r="Y254" s="20">
        <f t="shared" si="423"/>
        <v>38.287419999999997</v>
      </c>
      <c r="Z254" s="28"/>
      <c r="AA254" s="20">
        <f t="shared" si="424"/>
        <v>42.099959999999996</v>
      </c>
      <c r="AB254" s="20">
        <v>0</v>
      </c>
      <c r="AC254" s="20">
        <v>0</v>
      </c>
      <c r="AD254" s="174">
        <v>11</v>
      </c>
      <c r="AE254" s="20">
        <v>31.286999999999999</v>
      </c>
      <c r="AF254" s="20">
        <v>13</v>
      </c>
      <c r="AG254" s="20">
        <v>14.34036</v>
      </c>
      <c r="AH254" s="20">
        <v>6</v>
      </c>
      <c r="AI254" s="20">
        <v>18.599959999999999</v>
      </c>
      <c r="AJ254" s="20">
        <v>6</v>
      </c>
      <c r="AK254" s="20">
        <v>12</v>
      </c>
      <c r="AL254" s="20">
        <v>6</v>
      </c>
      <c r="AM254" s="20">
        <v>11.5</v>
      </c>
      <c r="AN254" s="20">
        <f t="shared" si="456"/>
        <v>42</v>
      </c>
      <c r="AO254" s="20">
        <f t="shared" si="457"/>
        <v>87.727319999999992</v>
      </c>
      <c r="AP254" s="94" t="s">
        <v>565</v>
      </c>
      <c r="AQ254" s="130"/>
      <c r="AR254" s="85">
        <f t="shared" si="438"/>
        <v>20.287419999999997</v>
      </c>
      <c r="AS254" s="85">
        <f t="shared" si="439"/>
        <v>0</v>
      </c>
      <c r="AT254" s="113">
        <f t="shared" si="454"/>
        <v>25.439899999999994</v>
      </c>
      <c r="AV254" s="105">
        <f t="shared" si="453"/>
        <v>0</v>
      </c>
      <c r="AX254" s="31"/>
      <c r="AY254" s="15"/>
      <c r="AZ254" s="118">
        <v>14.34036</v>
      </c>
      <c r="BA254" s="118">
        <v>18.599959999999999</v>
      </c>
      <c r="BB254" s="118">
        <v>11.5</v>
      </c>
      <c r="BC254" s="118">
        <v>11.5</v>
      </c>
      <c r="BD254" s="8"/>
      <c r="BE254" s="118">
        <f t="shared" si="409"/>
        <v>0</v>
      </c>
      <c r="BF254" s="118">
        <f t="shared" si="410"/>
        <v>0</v>
      </c>
      <c r="BG254" s="118">
        <f t="shared" si="411"/>
        <v>0.5</v>
      </c>
      <c r="BH254" s="118">
        <f t="shared" si="412"/>
        <v>0</v>
      </c>
      <c r="BI254" s="122">
        <f t="shared" si="413"/>
        <v>0.5</v>
      </c>
      <c r="BJ254" s="118">
        <f t="shared" si="426"/>
        <v>0</v>
      </c>
      <c r="BK254" s="108">
        <v>2024</v>
      </c>
      <c r="BL254" s="8" t="b">
        <f t="shared" si="427"/>
        <v>1</v>
      </c>
      <c r="BM254" s="128">
        <f t="shared" si="400"/>
        <v>87.727319999999992</v>
      </c>
      <c r="BN254" s="129">
        <f t="shared" si="352"/>
        <v>0</v>
      </c>
      <c r="BR254" s="73">
        <f t="shared" si="428"/>
        <v>0</v>
      </c>
      <c r="BS254" s="73">
        <f t="shared" si="429"/>
        <v>0</v>
      </c>
      <c r="BT254" s="73">
        <f t="shared" si="446"/>
        <v>28.553380013784757</v>
      </c>
      <c r="BU254" s="73">
        <f t="shared" si="447"/>
        <v>12.55534897378028</v>
      </c>
      <c r="BV254" s="73">
        <f t="shared" si="448"/>
        <v>15.610360643882606</v>
      </c>
      <c r="BW254" s="73">
        <f t="shared" si="449"/>
        <v>9.6476800270100576</v>
      </c>
      <c r="BX254" s="73">
        <f t="shared" si="450"/>
        <v>8.8534785382169368</v>
      </c>
      <c r="BY254" s="73">
        <f t="shared" si="451"/>
        <v>-2.6190920352100632E-15</v>
      </c>
      <c r="BZ254" s="74">
        <f t="shared" si="461"/>
        <v>90.264297836009561</v>
      </c>
      <c r="CB254" s="75">
        <f t="shared" si="401"/>
        <v>90.264297836009561</v>
      </c>
      <c r="CE254" s="8"/>
      <c r="CJ254" s="70">
        <f t="shared" si="437"/>
        <v>0</v>
      </c>
      <c r="CK254" s="161"/>
      <c r="CL254" s="163"/>
      <c r="CM254" s="68"/>
      <c r="CN254" s="20">
        <v>11</v>
      </c>
      <c r="CQ254" s="177">
        <f t="shared" si="402"/>
        <v>63.627359999999996</v>
      </c>
      <c r="CR254" s="177">
        <f t="shared" si="403"/>
        <v>21.627359999999996</v>
      </c>
    </row>
    <row r="255" spans="2:96" ht="74.25" customHeight="1" x14ac:dyDescent="0.3">
      <c r="B255" s="51" t="s">
        <v>117</v>
      </c>
      <c r="C255" s="76" t="s">
        <v>606</v>
      </c>
      <c r="D255" s="28" t="s">
        <v>352</v>
      </c>
      <c r="E255" s="21" t="s">
        <v>182</v>
      </c>
      <c r="F255" s="21">
        <f t="shared" si="415"/>
        <v>2020</v>
      </c>
      <c r="G255" s="46">
        <f t="shared" si="416"/>
        <v>2025</v>
      </c>
      <c r="H255" s="46">
        <f t="shared" si="417"/>
        <v>2024</v>
      </c>
      <c r="I255" s="22" t="s">
        <v>131</v>
      </c>
      <c r="J255" s="20" t="s">
        <v>131</v>
      </c>
      <c r="K255" s="20">
        <v>0</v>
      </c>
      <c r="L255" s="20">
        <f t="shared" si="455"/>
        <v>56.895989999999998</v>
      </c>
      <c r="M255" s="20">
        <v>0</v>
      </c>
      <c r="N255" s="20">
        <v>0</v>
      </c>
      <c r="O255" s="20">
        <v>0</v>
      </c>
      <c r="P255" s="20">
        <v>56.895989999999998</v>
      </c>
      <c r="Q255" s="20">
        <v>55.300899999999999</v>
      </c>
      <c r="R255" s="20">
        <v>0</v>
      </c>
      <c r="S255" s="20">
        <v>0</v>
      </c>
      <c r="T255" s="20">
        <v>0</v>
      </c>
      <c r="U255" s="20">
        <f t="shared" si="462"/>
        <v>55.300899999999999</v>
      </c>
      <c r="V255" s="20">
        <v>0</v>
      </c>
      <c r="W255" s="20">
        <f t="shared" si="463"/>
        <v>56.895989999999998</v>
      </c>
      <c r="X255" s="20"/>
      <c r="Y255" s="20">
        <f t="shared" si="423"/>
        <v>37.195989999999995</v>
      </c>
      <c r="Z255" s="28"/>
      <c r="AA255" s="20">
        <f t="shared" si="424"/>
        <v>23.4</v>
      </c>
      <c r="AB255" s="20">
        <v>0</v>
      </c>
      <c r="AC255" s="20">
        <v>0</v>
      </c>
      <c r="AD255" s="174">
        <v>5</v>
      </c>
      <c r="AE255" s="20">
        <v>21.196000000000002</v>
      </c>
      <c r="AF255" s="20">
        <v>14.7</v>
      </c>
      <c r="AG255" s="20">
        <v>10.7049</v>
      </c>
      <c r="AH255" s="20">
        <v>7</v>
      </c>
      <c r="AI255" s="20">
        <v>8</v>
      </c>
      <c r="AJ255" s="20">
        <v>7</v>
      </c>
      <c r="AK255" s="20">
        <v>8.4</v>
      </c>
      <c r="AL255" s="20">
        <v>7</v>
      </c>
      <c r="AM255" s="20">
        <v>7</v>
      </c>
      <c r="AN255" s="20">
        <f t="shared" si="456"/>
        <v>40.700000000000003</v>
      </c>
      <c r="AO255" s="20">
        <f t="shared" si="457"/>
        <v>55.300899999999999</v>
      </c>
      <c r="AP255" s="94" t="s">
        <v>565</v>
      </c>
      <c r="AQ255" s="130"/>
      <c r="AR255" s="85">
        <f t="shared" si="438"/>
        <v>16.195989999999995</v>
      </c>
      <c r="AS255" s="114">
        <f t="shared" si="439"/>
        <v>0</v>
      </c>
      <c r="AT255" s="113">
        <f t="shared" si="454"/>
        <v>-1.595089999999999</v>
      </c>
      <c r="AV255" s="105">
        <f t="shared" si="453"/>
        <v>0</v>
      </c>
      <c r="AX255" s="31"/>
      <c r="AY255" s="15"/>
      <c r="AZ255" s="118">
        <v>10.7049</v>
      </c>
      <c r="BA255" s="118">
        <v>8</v>
      </c>
      <c r="BB255" s="118">
        <v>7</v>
      </c>
      <c r="BC255" s="118">
        <v>7</v>
      </c>
      <c r="BD255" s="8"/>
      <c r="BE255" s="118">
        <f t="shared" si="409"/>
        <v>0</v>
      </c>
      <c r="BF255" s="118">
        <f t="shared" si="410"/>
        <v>0</v>
      </c>
      <c r="BG255" s="118">
        <f t="shared" si="411"/>
        <v>1.4000000000000004</v>
      </c>
      <c r="BH255" s="118">
        <f t="shared" si="412"/>
        <v>0</v>
      </c>
      <c r="BI255" s="122">
        <f t="shared" si="413"/>
        <v>1.4000000000000004</v>
      </c>
      <c r="BJ255" s="118">
        <f t="shared" si="426"/>
        <v>0</v>
      </c>
      <c r="BK255" s="108">
        <v>2024</v>
      </c>
      <c r="BL255" s="8" t="b">
        <f t="shared" si="427"/>
        <v>1</v>
      </c>
      <c r="BM255" s="128">
        <f t="shared" si="400"/>
        <v>55.300899999999999</v>
      </c>
      <c r="BN255" s="129">
        <f t="shared" ref="BN255:BN263" si="464">BM255-Q255</f>
        <v>0</v>
      </c>
      <c r="BR255" s="73">
        <f t="shared" si="428"/>
        <v>0</v>
      </c>
      <c r="BS255" s="73">
        <f t="shared" si="429"/>
        <v>0</v>
      </c>
      <c r="BT255" s="73">
        <f t="shared" si="446"/>
        <v>19.344054807817361</v>
      </c>
      <c r="BU255" s="73">
        <f t="shared" si="447"/>
        <v>9.3724115175226075</v>
      </c>
      <c r="BV255" s="73">
        <f t="shared" si="448"/>
        <v>6.7141480493001513</v>
      </c>
      <c r="BW255" s="73">
        <f t="shared" si="449"/>
        <v>6.7533760189070406</v>
      </c>
      <c r="BX255" s="73">
        <f t="shared" si="450"/>
        <v>5.3890738928277004</v>
      </c>
      <c r="BY255" s="73">
        <f t="shared" si="451"/>
        <v>-1.3095460176050316E-15</v>
      </c>
      <c r="BZ255" s="74">
        <f t="shared" si="461"/>
        <v>57.087677143649834</v>
      </c>
      <c r="CB255" s="75">
        <f t="shared" si="401"/>
        <v>57.087677143649834</v>
      </c>
      <c r="CE255" s="8"/>
      <c r="CJ255" s="70">
        <f t="shared" si="437"/>
        <v>0</v>
      </c>
      <c r="CK255" s="161"/>
      <c r="CL255" s="163"/>
      <c r="CM255" s="68"/>
      <c r="CN255" s="20">
        <v>5</v>
      </c>
      <c r="CQ255" s="177">
        <f t="shared" si="402"/>
        <v>52.9009</v>
      </c>
      <c r="CR255" s="177">
        <f t="shared" si="403"/>
        <v>12.200899999999997</v>
      </c>
    </row>
    <row r="256" spans="2:96" ht="85.5" customHeight="1" x14ac:dyDescent="0.3">
      <c r="B256" s="51" t="s">
        <v>117</v>
      </c>
      <c r="C256" s="76" t="s">
        <v>607</v>
      </c>
      <c r="D256" s="28" t="s">
        <v>348</v>
      </c>
      <c r="E256" s="21" t="s">
        <v>182</v>
      </c>
      <c r="F256" s="21">
        <f t="shared" si="415"/>
        <v>2021</v>
      </c>
      <c r="G256" s="46" t="str">
        <f t="shared" si="416"/>
        <v>Ошибка в +</v>
      </c>
      <c r="H256" s="46">
        <f t="shared" si="417"/>
        <v>2024</v>
      </c>
      <c r="I256" s="22" t="s">
        <v>131</v>
      </c>
      <c r="J256" s="20" t="s">
        <v>131</v>
      </c>
      <c r="K256" s="20">
        <v>0</v>
      </c>
      <c r="L256" s="20">
        <f t="shared" si="455"/>
        <v>102.6</v>
      </c>
      <c r="M256" s="20">
        <v>0</v>
      </c>
      <c r="N256" s="20">
        <v>0</v>
      </c>
      <c r="O256" s="20">
        <v>0</v>
      </c>
      <c r="P256" s="20">
        <v>102.6</v>
      </c>
      <c r="Q256" s="20">
        <v>96.009470000000007</v>
      </c>
      <c r="R256" s="20">
        <v>0</v>
      </c>
      <c r="S256" s="20">
        <v>0</v>
      </c>
      <c r="T256" s="20">
        <v>0</v>
      </c>
      <c r="U256" s="20">
        <f t="shared" si="462"/>
        <v>96.009470000000007</v>
      </c>
      <c r="V256" s="20">
        <v>0</v>
      </c>
      <c r="W256" s="20">
        <f t="shared" si="463"/>
        <v>102.6</v>
      </c>
      <c r="X256" s="20"/>
      <c r="Y256" s="20">
        <f t="shared" si="423"/>
        <v>3</v>
      </c>
      <c r="Z256" s="28"/>
      <c r="AA256" s="20">
        <f t="shared" si="424"/>
        <v>29.678470000000004</v>
      </c>
      <c r="AB256" s="20">
        <v>0</v>
      </c>
      <c r="AC256" s="20">
        <v>0</v>
      </c>
      <c r="AD256" s="174">
        <v>21</v>
      </c>
      <c r="AE256" s="20">
        <v>0</v>
      </c>
      <c r="AF256" s="20">
        <v>78.599999999999994</v>
      </c>
      <c r="AG256" s="20">
        <v>66.331000000000003</v>
      </c>
      <c r="AH256" s="20">
        <v>8</v>
      </c>
      <c r="AI256" s="20">
        <v>19.678470000000001</v>
      </c>
      <c r="AJ256" s="20">
        <v>8</v>
      </c>
      <c r="AK256" s="20">
        <v>5</v>
      </c>
      <c r="AL256" s="20">
        <v>8</v>
      </c>
      <c r="AM256" s="20">
        <v>5</v>
      </c>
      <c r="AN256" s="20">
        <f t="shared" si="456"/>
        <v>123.6</v>
      </c>
      <c r="AO256" s="20">
        <f t="shared" si="457"/>
        <v>96.009470000000007</v>
      </c>
      <c r="AP256" s="94" t="s">
        <v>565</v>
      </c>
      <c r="AQ256" s="130"/>
      <c r="AR256" s="85">
        <f t="shared" si="438"/>
        <v>-21</v>
      </c>
      <c r="AS256" s="114">
        <f t="shared" si="439"/>
        <v>0</v>
      </c>
      <c r="AT256" s="113">
        <f t="shared" si="454"/>
        <v>-6.5905299999999869</v>
      </c>
      <c r="AV256" s="105">
        <f t="shared" si="453"/>
        <v>0</v>
      </c>
      <c r="AX256" s="31"/>
      <c r="AY256" s="15"/>
      <c r="AZ256" s="118">
        <v>66.331000000000003</v>
      </c>
      <c r="BA256" s="118">
        <v>19.678470000000001</v>
      </c>
      <c r="BB256" s="118">
        <v>5</v>
      </c>
      <c r="BC256" s="118">
        <v>5</v>
      </c>
      <c r="BD256" s="8"/>
      <c r="BE256" s="118">
        <f t="shared" si="409"/>
        <v>0</v>
      </c>
      <c r="BF256" s="118">
        <f t="shared" si="410"/>
        <v>0</v>
      </c>
      <c r="BG256" s="118">
        <f t="shared" si="411"/>
        <v>0</v>
      </c>
      <c r="BH256" s="118">
        <f t="shared" si="412"/>
        <v>0</v>
      </c>
      <c r="BI256" s="122">
        <f t="shared" si="413"/>
        <v>0</v>
      </c>
      <c r="BJ256" s="118">
        <f t="shared" si="426"/>
        <v>0</v>
      </c>
      <c r="BK256" s="108">
        <v>2024</v>
      </c>
      <c r="BL256" s="8" t="b">
        <f t="shared" si="427"/>
        <v>1</v>
      </c>
      <c r="BM256" s="128">
        <f t="shared" si="400"/>
        <v>96.009470000000007</v>
      </c>
      <c r="BN256" s="129">
        <f t="shared" si="464"/>
        <v>0</v>
      </c>
      <c r="BR256" s="73">
        <f t="shared" si="428"/>
        <v>0</v>
      </c>
      <c r="BS256" s="73">
        <f t="shared" si="429"/>
        <v>0</v>
      </c>
      <c r="BT256" s="73">
        <f t="shared" si="446"/>
        <v>0</v>
      </c>
      <c r="BU256" s="73">
        <f t="shared" si="447"/>
        <v>58.074473219627663</v>
      </c>
      <c r="BV256" s="73">
        <f t="shared" si="448"/>
        <v>16.515520120463943</v>
      </c>
      <c r="BW256" s="73">
        <f t="shared" si="449"/>
        <v>4.0198666779208567</v>
      </c>
      <c r="BX256" s="73">
        <f t="shared" si="450"/>
        <v>3.8493384948769291</v>
      </c>
      <c r="BY256" s="73">
        <f t="shared" si="451"/>
        <v>2.6190920352100632E-15</v>
      </c>
      <c r="BZ256" s="74">
        <f t="shared" si="461"/>
        <v>98.951038215467278</v>
      </c>
      <c r="CB256" s="75">
        <f t="shared" si="401"/>
        <v>98.951038215467278</v>
      </c>
      <c r="CE256" s="8"/>
      <c r="CJ256" s="70">
        <f t="shared" si="437"/>
        <v>0</v>
      </c>
      <c r="CK256" s="161"/>
      <c r="CL256" s="163"/>
      <c r="CM256" s="68"/>
      <c r="CN256" s="20">
        <v>21</v>
      </c>
      <c r="CQ256" s="177">
        <f t="shared" si="402"/>
        <v>90.331000000000003</v>
      </c>
      <c r="CR256" s="177">
        <f t="shared" si="403"/>
        <v>-33.268999999999991</v>
      </c>
    </row>
    <row r="257" spans="1:96" ht="112.5" x14ac:dyDescent="0.3">
      <c r="B257" s="51" t="s">
        <v>117</v>
      </c>
      <c r="C257" s="76" t="s">
        <v>608</v>
      </c>
      <c r="D257" s="28" t="s">
        <v>201</v>
      </c>
      <c r="E257" s="21" t="s">
        <v>487</v>
      </c>
      <c r="F257" s="21">
        <f t="shared" si="415"/>
        <v>2020</v>
      </c>
      <c r="G257" s="46">
        <f t="shared" si="416"/>
        <v>2025</v>
      </c>
      <c r="H257" s="46">
        <f t="shared" si="417"/>
        <v>2020</v>
      </c>
      <c r="I257" s="22" t="s">
        <v>131</v>
      </c>
      <c r="J257" s="20">
        <f>Q257</f>
        <v>28.025500000000001</v>
      </c>
      <c r="K257" s="20">
        <v>0</v>
      </c>
      <c r="L257" s="20">
        <f t="shared" si="455"/>
        <v>28.025459999999999</v>
      </c>
      <c r="M257" s="20">
        <v>0</v>
      </c>
      <c r="N257" s="20">
        <v>0</v>
      </c>
      <c r="O257" s="20">
        <v>0</v>
      </c>
      <c r="P257" s="20">
        <v>28.025459999999999</v>
      </c>
      <c r="Q257" s="20">
        <v>28.025500000000001</v>
      </c>
      <c r="R257" s="20">
        <v>0</v>
      </c>
      <c r="S257" s="20">
        <v>0</v>
      </c>
      <c r="T257" s="20">
        <v>0</v>
      </c>
      <c r="U257" s="20">
        <f t="shared" si="462"/>
        <v>28.025500000000001</v>
      </c>
      <c r="V257" s="20">
        <v>0</v>
      </c>
      <c r="W257" s="20">
        <f t="shared" si="463"/>
        <v>28.025459999999999</v>
      </c>
      <c r="X257" s="20"/>
      <c r="Y257" s="20">
        <f t="shared" si="423"/>
        <v>2.0254599999999989</v>
      </c>
      <c r="Z257" s="28"/>
      <c r="AA257" s="20">
        <f t="shared" si="424"/>
        <v>0</v>
      </c>
      <c r="AB257" s="20">
        <v>0</v>
      </c>
      <c r="AC257" s="20">
        <v>0</v>
      </c>
      <c r="AD257" s="174">
        <v>26</v>
      </c>
      <c r="AE257" s="20">
        <v>28.025500000000001</v>
      </c>
      <c r="AF257" s="20">
        <v>0</v>
      </c>
      <c r="AG257" s="20"/>
      <c r="AH257" s="20">
        <v>0</v>
      </c>
      <c r="AI257" s="20">
        <v>0</v>
      </c>
      <c r="AJ257" s="20">
        <v>0</v>
      </c>
      <c r="AK257" s="20">
        <v>0</v>
      </c>
      <c r="AL257" s="20">
        <v>0</v>
      </c>
      <c r="AM257" s="20">
        <v>0</v>
      </c>
      <c r="AN257" s="20">
        <f t="shared" si="456"/>
        <v>26</v>
      </c>
      <c r="AO257" s="20">
        <f t="shared" si="457"/>
        <v>28.025500000000001</v>
      </c>
      <c r="AP257" s="94"/>
      <c r="AQ257" s="130"/>
      <c r="AR257" s="85">
        <f t="shared" si="438"/>
        <v>2.0254599999999989</v>
      </c>
      <c r="AS257" s="114">
        <f t="shared" si="439"/>
        <v>0</v>
      </c>
      <c r="AT257" s="113">
        <f t="shared" si="454"/>
        <v>4.0000000002038405E-5</v>
      </c>
      <c r="AV257" s="105">
        <f t="shared" si="453"/>
        <v>0</v>
      </c>
      <c r="AX257" s="31">
        <f>J257-Q257</f>
        <v>0</v>
      </c>
      <c r="AY257" s="15"/>
      <c r="AZ257" s="118"/>
      <c r="BA257" s="118">
        <v>0</v>
      </c>
      <c r="BB257" s="118">
        <v>0</v>
      </c>
      <c r="BC257" s="118">
        <v>0</v>
      </c>
      <c r="BD257" s="8"/>
      <c r="BE257" s="118">
        <f t="shared" si="409"/>
        <v>0</v>
      </c>
      <c r="BF257" s="118">
        <f t="shared" si="410"/>
        <v>0</v>
      </c>
      <c r="BG257" s="118">
        <f t="shared" si="411"/>
        <v>0</v>
      </c>
      <c r="BH257" s="118">
        <f t="shared" si="412"/>
        <v>0</v>
      </c>
      <c r="BI257" s="122">
        <f t="shared" si="413"/>
        <v>0</v>
      </c>
      <c r="BJ257" s="118">
        <f t="shared" si="426"/>
        <v>0</v>
      </c>
      <c r="BK257" s="108">
        <v>2020</v>
      </c>
      <c r="BL257" s="8" t="b">
        <f t="shared" si="427"/>
        <v>1</v>
      </c>
      <c r="BM257" s="128">
        <f t="shared" si="400"/>
        <v>28.025500000000001</v>
      </c>
      <c r="BN257" s="129">
        <f t="shared" si="464"/>
        <v>0</v>
      </c>
      <c r="BR257" s="73">
        <f t="shared" si="428"/>
        <v>0</v>
      </c>
      <c r="BS257" s="73">
        <f t="shared" si="429"/>
        <v>0</v>
      </c>
      <c r="BT257" s="73">
        <f t="shared" si="446"/>
        <v>25.576845065884388</v>
      </c>
      <c r="BU257" s="73">
        <f t="shared" si="447"/>
        <v>0</v>
      </c>
      <c r="BV257" s="73">
        <f t="shared" si="448"/>
        <v>0</v>
      </c>
      <c r="BW257" s="73">
        <f t="shared" si="449"/>
        <v>0</v>
      </c>
      <c r="BX257" s="73">
        <f t="shared" si="450"/>
        <v>0</v>
      </c>
      <c r="BY257" s="73">
        <f t="shared" si="451"/>
        <v>0</v>
      </c>
      <c r="BZ257" s="74">
        <f t="shared" si="461"/>
        <v>30.692214079061266</v>
      </c>
      <c r="CB257" s="75">
        <f t="shared" si="401"/>
        <v>30.692214079061266</v>
      </c>
      <c r="CE257" s="8"/>
      <c r="CJ257" s="70">
        <f t="shared" si="437"/>
        <v>0</v>
      </c>
      <c r="CL257" s="163"/>
      <c r="CM257" s="68"/>
      <c r="CN257" s="20">
        <v>26</v>
      </c>
      <c r="CQ257" s="177">
        <f t="shared" si="402"/>
        <v>28.025500000000001</v>
      </c>
      <c r="CR257" s="177">
        <f t="shared" si="403"/>
        <v>2.025500000000001</v>
      </c>
    </row>
    <row r="258" spans="1:96" ht="47.25" customHeight="1" x14ac:dyDescent="0.3">
      <c r="B258" s="51" t="s">
        <v>117</v>
      </c>
      <c r="C258" s="76" t="s">
        <v>609</v>
      </c>
      <c r="D258" s="28" t="s">
        <v>442</v>
      </c>
      <c r="E258" s="21" t="s">
        <v>182</v>
      </c>
      <c r="F258" s="21">
        <f t="shared" si="415"/>
        <v>2021</v>
      </c>
      <c r="G258" s="46">
        <f t="shared" si="416"/>
        <v>2024</v>
      </c>
      <c r="H258" s="46">
        <f t="shared" si="417"/>
        <v>2024</v>
      </c>
      <c r="I258" s="22" t="s">
        <v>131</v>
      </c>
      <c r="J258" s="20" t="s">
        <v>131</v>
      </c>
      <c r="K258" s="20">
        <v>0</v>
      </c>
      <c r="L258" s="20">
        <f t="shared" si="455"/>
        <v>190.5</v>
      </c>
      <c r="M258" s="20">
        <v>0</v>
      </c>
      <c r="N258" s="20">
        <v>0</v>
      </c>
      <c r="O258" s="20">
        <v>0</v>
      </c>
      <c r="P258" s="20">
        <v>190.5</v>
      </c>
      <c r="Q258" s="20">
        <v>267.96589999999998</v>
      </c>
      <c r="R258" s="20">
        <v>0</v>
      </c>
      <c r="S258" s="20">
        <v>0</v>
      </c>
      <c r="T258" s="20">
        <v>0</v>
      </c>
      <c r="U258" s="20">
        <f t="shared" si="462"/>
        <v>267.96589999999998</v>
      </c>
      <c r="V258" s="20">
        <v>0</v>
      </c>
      <c r="W258" s="20">
        <f t="shared" si="463"/>
        <v>190.5</v>
      </c>
      <c r="X258" s="20"/>
      <c r="Y258" s="20">
        <f t="shared" si="423"/>
        <v>117</v>
      </c>
      <c r="Z258" s="28"/>
      <c r="AA258" s="20">
        <f t="shared" si="424"/>
        <v>190.00199999999998</v>
      </c>
      <c r="AB258" s="20">
        <v>0</v>
      </c>
      <c r="AC258" s="20">
        <v>0</v>
      </c>
      <c r="AD258" s="107">
        <v>0</v>
      </c>
      <c r="AE258" s="20">
        <v>0</v>
      </c>
      <c r="AF258" s="20">
        <v>73.5</v>
      </c>
      <c r="AG258" s="20">
        <v>77.963899999999995</v>
      </c>
      <c r="AH258" s="20">
        <v>39</v>
      </c>
      <c r="AI258" s="20">
        <v>78.021999999999991</v>
      </c>
      <c r="AJ258" s="20">
        <v>39</v>
      </c>
      <c r="AK258" s="20">
        <v>75.48</v>
      </c>
      <c r="AL258" s="20">
        <v>39</v>
      </c>
      <c r="AM258" s="20">
        <v>36.5</v>
      </c>
      <c r="AN258" s="20">
        <f t="shared" si="456"/>
        <v>190.5</v>
      </c>
      <c r="AO258" s="20">
        <f t="shared" si="457"/>
        <v>267.96589999999998</v>
      </c>
      <c r="AP258" s="94" t="s">
        <v>565</v>
      </c>
      <c r="AQ258" s="130"/>
      <c r="AR258" s="85">
        <f t="shared" si="438"/>
        <v>0</v>
      </c>
      <c r="AS258" s="115">
        <f t="shared" si="439"/>
        <v>0</v>
      </c>
      <c r="AT258" s="113">
        <f t="shared" si="454"/>
        <v>77.465899999999976</v>
      </c>
      <c r="AV258" s="105">
        <f t="shared" si="453"/>
        <v>0</v>
      </c>
      <c r="AX258" s="31"/>
      <c r="AY258" s="15"/>
      <c r="AZ258" s="118">
        <v>77.963899999999995</v>
      </c>
      <c r="BA258" s="118">
        <v>78.021999999999991</v>
      </c>
      <c r="BB258" s="118">
        <v>61.420400000000001</v>
      </c>
      <c r="BC258" s="118">
        <v>35.432000000000002</v>
      </c>
      <c r="BD258" s="8"/>
      <c r="BE258" s="118">
        <f t="shared" si="409"/>
        <v>0</v>
      </c>
      <c r="BF258" s="118">
        <f t="shared" si="410"/>
        <v>0</v>
      </c>
      <c r="BG258" s="118">
        <f t="shared" si="411"/>
        <v>14.059600000000003</v>
      </c>
      <c r="BH258" s="118">
        <f t="shared" si="412"/>
        <v>1.0679999999999978</v>
      </c>
      <c r="BI258" s="122">
        <f t="shared" si="413"/>
        <v>15.127600000000001</v>
      </c>
      <c r="BJ258" s="118">
        <f t="shared" si="426"/>
        <v>0</v>
      </c>
      <c r="BK258" s="108">
        <v>2024</v>
      </c>
      <c r="BL258" s="8" t="b">
        <f t="shared" si="427"/>
        <v>1</v>
      </c>
      <c r="BM258" s="128">
        <f t="shared" si="400"/>
        <v>267.96589999999998</v>
      </c>
      <c r="BN258" s="129">
        <f t="shared" si="464"/>
        <v>0</v>
      </c>
      <c r="BR258" s="73">
        <f t="shared" si="428"/>
        <v>0</v>
      </c>
      <c r="BS258" s="73">
        <f t="shared" si="429"/>
        <v>0</v>
      </c>
      <c r="BT258" s="73">
        <f t="shared" si="446"/>
        <v>0</v>
      </c>
      <c r="BU258" s="73">
        <f t="shared" si="447"/>
        <v>68.259372279141402</v>
      </c>
      <c r="BV258" s="73">
        <f t="shared" si="448"/>
        <v>65.481407387812041</v>
      </c>
      <c r="BW258" s="73">
        <f t="shared" si="449"/>
        <v>60.683907369893262</v>
      </c>
      <c r="BX258" s="73">
        <f t="shared" si="450"/>
        <v>28.100171012601582</v>
      </c>
      <c r="BY258" s="73">
        <f t="shared" si="451"/>
        <v>-1.0476368140840253E-14</v>
      </c>
      <c r="BZ258" s="74">
        <f t="shared" si="461"/>
        <v>267.02982965933791</v>
      </c>
      <c r="CB258" s="75">
        <f t="shared" si="401"/>
        <v>267.02982965933791</v>
      </c>
      <c r="CE258" s="8"/>
      <c r="CJ258" s="70">
        <f t="shared" si="437"/>
        <v>0</v>
      </c>
      <c r="CK258" s="161"/>
      <c r="CL258" s="163"/>
      <c r="CM258" s="68"/>
      <c r="CN258" s="20"/>
      <c r="CQ258" s="177">
        <f t="shared" si="402"/>
        <v>194.9639</v>
      </c>
      <c r="CR258" s="177">
        <f t="shared" si="403"/>
        <v>4.4638999999999953</v>
      </c>
    </row>
    <row r="259" spans="1:96" ht="73.5" customHeight="1" x14ac:dyDescent="0.3">
      <c r="B259" s="51" t="s">
        <v>117</v>
      </c>
      <c r="C259" s="76" t="s">
        <v>610</v>
      </c>
      <c r="D259" s="20" t="s">
        <v>202</v>
      </c>
      <c r="E259" s="21" t="s">
        <v>487</v>
      </c>
      <c r="F259" s="21">
        <f t="shared" si="415"/>
        <v>2020</v>
      </c>
      <c r="G259" s="46" t="str">
        <f t="shared" si="416"/>
        <v>Ошибка в +</v>
      </c>
      <c r="H259" s="46">
        <f t="shared" si="417"/>
        <v>2020</v>
      </c>
      <c r="I259" s="22" t="s">
        <v>131</v>
      </c>
      <c r="J259" s="20">
        <f>Q259</f>
        <v>17.031300000000002</v>
      </c>
      <c r="K259" s="20">
        <v>0</v>
      </c>
      <c r="L259" s="20">
        <f t="shared" si="455"/>
        <v>17.031339899999999</v>
      </c>
      <c r="M259" s="20">
        <v>0</v>
      </c>
      <c r="N259" s="20">
        <v>0</v>
      </c>
      <c r="O259" s="20">
        <v>0</v>
      </c>
      <c r="P259" s="20">
        <v>17.031339899999999</v>
      </c>
      <c r="Q259" s="20">
        <v>17.031300000000002</v>
      </c>
      <c r="R259" s="20">
        <v>0</v>
      </c>
      <c r="S259" s="20">
        <v>0</v>
      </c>
      <c r="T259" s="20">
        <v>0</v>
      </c>
      <c r="U259" s="20">
        <f t="shared" si="462"/>
        <v>17.031300000000002</v>
      </c>
      <c r="V259" s="20">
        <v>0</v>
      </c>
      <c r="W259" s="20">
        <f t="shared" si="463"/>
        <v>17.031339899999999</v>
      </c>
      <c r="X259" s="20"/>
      <c r="Y259" s="20">
        <f t="shared" si="423"/>
        <v>-34.968660100000001</v>
      </c>
      <c r="Z259" s="28"/>
      <c r="AA259" s="20">
        <f t="shared" si="424"/>
        <v>0</v>
      </c>
      <c r="AB259" s="20">
        <v>0</v>
      </c>
      <c r="AC259" s="20">
        <v>0</v>
      </c>
      <c r="AD259" s="174">
        <v>52</v>
      </c>
      <c r="AE259" s="20">
        <v>17.031300000000002</v>
      </c>
      <c r="AF259" s="20">
        <v>0</v>
      </c>
      <c r="AG259" s="20"/>
      <c r="AH259" s="20">
        <v>0</v>
      </c>
      <c r="AI259" s="20">
        <v>0</v>
      </c>
      <c r="AJ259" s="20">
        <v>0</v>
      </c>
      <c r="AK259" s="20">
        <v>0</v>
      </c>
      <c r="AL259" s="20">
        <v>0</v>
      </c>
      <c r="AM259" s="20">
        <v>0</v>
      </c>
      <c r="AN259" s="20">
        <f t="shared" si="456"/>
        <v>52</v>
      </c>
      <c r="AO259" s="20">
        <f t="shared" si="457"/>
        <v>17.031300000000002</v>
      </c>
      <c r="AP259" s="94"/>
      <c r="AQ259" s="130"/>
      <c r="AR259" s="85">
        <f t="shared" si="438"/>
        <v>-34.968660100000001</v>
      </c>
      <c r="AS259" s="114">
        <f t="shared" si="439"/>
        <v>0</v>
      </c>
      <c r="AT259" s="113">
        <f t="shared" si="454"/>
        <v>-3.9899999997317082E-5</v>
      </c>
      <c r="AV259" s="105">
        <f t="shared" si="453"/>
        <v>0</v>
      </c>
      <c r="AX259" s="31">
        <f>J259-Q259</f>
        <v>0</v>
      </c>
      <c r="AY259" s="15"/>
      <c r="AZ259" s="118"/>
      <c r="BA259" s="118">
        <v>0</v>
      </c>
      <c r="BB259" s="118">
        <v>0</v>
      </c>
      <c r="BC259" s="118">
        <v>0</v>
      </c>
      <c r="BD259" s="8"/>
      <c r="BE259" s="118">
        <f t="shared" si="409"/>
        <v>0</v>
      </c>
      <c r="BF259" s="118">
        <f t="shared" si="410"/>
        <v>0</v>
      </c>
      <c r="BG259" s="118">
        <f t="shared" si="411"/>
        <v>0</v>
      </c>
      <c r="BH259" s="118">
        <f t="shared" si="412"/>
        <v>0</v>
      </c>
      <c r="BI259" s="122">
        <f t="shared" si="413"/>
        <v>0</v>
      </c>
      <c r="BJ259" s="118">
        <f t="shared" si="426"/>
        <v>0</v>
      </c>
      <c r="BK259" s="108">
        <v>2020</v>
      </c>
      <c r="BL259" s="8" t="b">
        <f t="shared" si="427"/>
        <v>1</v>
      </c>
      <c r="BM259" s="128">
        <f t="shared" si="400"/>
        <v>17.031300000000002</v>
      </c>
      <c r="BN259" s="129">
        <f t="shared" si="464"/>
        <v>0</v>
      </c>
      <c r="BR259" s="73">
        <f t="shared" si="428"/>
        <v>0</v>
      </c>
      <c r="BS259" s="73">
        <f t="shared" si="429"/>
        <v>0</v>
      </c>
      <c r="BT259" s="73">
        <f t="shared" si="446"/>
        <v>15.543234603150587</v>
      </c>
      <c r="BU259" s="73">
        <f t="shared" si="447"/>
        <v>0</v>
      </c>
      <c r="BV259" s="73">
        <f t="shared" si="448"/>
        <v>0</v>
      </c>
      <c r="BW259" s="73">
        <f t="shared" si="449"/>
        <v>0</v>
      </c>
      <c r="BX259" s="73">
        <f t="shared" si="450"/>
        <v>0</v>
      </c>
      <c r="BY259" s="73">
        <f t="shared" si="451"/>
        <v>0</v>
      </c>
      <c r="BZ259" s="74">
        <f t="shared" si="461"/>
        <v>18.651881523780705</v>
      </c>
      <c r="CB259" s="75">
        <f t="shared" si="401"/>
        <v>18.651881523780705</v>
      </c>
      <c r="CE259" s="8"/>
      <c r="CJ259" s="70">
        <f t="shared" si="437"/>
        <v>0</v>
      </c>
      <c r="CL259" s="163"/>
      <c r="CM259" s="68"/>
      <c r="CN259" s="20">
        <v>52</v>
      </c>
      <c r="CQ259" s="177">
        <f t="shared" si="402"/>
        <v>17.031300000000002</v>
      </c>
      <c r="CR259" s="177">
        <f t="shared" si="403"/>
        <v>-34.968699999999998</v>
      </c>
    </row>
    <row r="260" spans="1:96" ht="56.25" x14ac:dyDescent="0.3">
      <c r="B260" s="51" t="s">
        <v>117</v>
      </c>
      <c r="C260" s="71" t="s">
        <v>205</v>
      </c>
      <c r="D260" s="28" t="s">
        <v>341</v>
      </c>
      <c r="E260" s="21" t="s">
        <v>483</v>
      </c>
      <c r="F260" s="21" t="str">
        <f t="shared" si="415"/>
        <v>нд</v>
      </c>
      <c r="G260" s="46" t="str">
        <f t="shared" si="416"/>
        <v>Ошибка в +</v>
      </c>
      <c r="H260" s="46" t="str">
        <f t="shared" si="417"/>
        <v>нд</v>
      </c>
      <c r="I260" s="22" t="s">
        <v>131</v>
      </c>
      <c r="J260" s="20" t="s">
        <v>131</v>
      </c>
      <c r="K260" s="20">
        <v>0</v>
      </c>
      <c r="L260" s="20">
        <f t="shared" si="455"/>
        <v>0</v>
      </c>
      <c r="M260" s="20">
        <v>0</v>
      </c>
      <c r="N260" s="20">
        <v>0</v>
      </c>
      <c r="O260" s="20">
        <v>0</v>
      </c>
      <c r="P260" s="20">
        <v>0</v>
      </c>
      <c r="Q260" s="20"/>
      <c r="R260" s="20">
        <v>0</v>
      </c>
      <c r="S260" s="20">
        <v>0</v>
      </c>
      <c r="T260" s="20">
        <v>0</v>
      </c>
      <c r="U260" s="20">
        <v>0</v>
      </c>
      <c r="V260" s="20">
        <v>0</v>
      </c>
      <c r="W260" s="20">
        <f t="shared" si="463"/>
        <v>0</v>
      </c>
      <c r="X260" s="20"/>
      <c r="Y260" s="20">
        <f t="shared" si="423"/>
        <v>-24.7</v>
      </c>
      <c r="Z260" s="28"/>
      <c r="AA260" s="20">
        <f t="shared" si="424"/>
        <v>0</v>
      </c>
      <c r="AB260" s="20">
        <v>0</v>
      </c>
      <c r="AC260" s="20">
        <v>0</v>
      </c>
      <c r="AD260" s="107">
        <v>24.7</v>
      </c>
      <c r="AE260" s="20"/>
      <c r="AF260" s="20"/>
      <c r="AG260" s="20"/>
      <c r="AH260" s="20"/>
      <c r="AI260" s="20"/>
      <c r="AJ260" s="20"/>
      <c r="AK260" s="20"/>
      <c r="AL260" s="20"/>
      <c r="AM260" s="20"/>
      <c r="AN260" s="20">
        <f t="shared" si="456"/>
        <v>24.7</v>
      </c>
      <c r="AO260" s="20">
        <f t="shared" si="457"/>
        <v>0</v>
      </c>
      <c r="AP260" s="94" t="s">
        <v>499</v>
      </c>
      <c r="AQ260" s="86"/>
      <c r="AR260" s="85">
        <f t="shared" si="438"/>
        <v>-24.7</v>
      </c>
      <c r="AS260" s="85">
        <f t="shared" si="439"/>
        <v>0</v>
      </c>
      <c r="AT260" s="113">
        <f t="shared" si="454"/>
        <v>0</v>
      </c>
      <c r="AV260" s="105">
        <f t="shared" si="453"/>
        <v>0</v>
      </c>
      <c r="AX260" s="31"/>
      <c r="AY260" s="15"/>
      <c r="AZ260" s="118"/>
      <c r="BA260" s="118"/>
      <c r="BB260" s="118"/>
      <c r="BC260" s="118"/>
      <c r="BD260" s="8"/>
      <c r="BE260" s="118">
        <f t="shared" si="409"/>
        <v>0</v>
      </c>
      <c r="BF260" s="118">
        <f t="shared" si="410"/>
        <v>0</v>
      </c>
      <c r="BG260" s="118">
        <f t="shared" si="411"/>
        <v>0</v>
      </c>
      <c r="BH260" s="118">
        <f t="shared" si="412"/>
        <v>0</v>
      </c>
      <c r="BI260" s="122">
        <f t="shared" si="413"/>
        <v>0</v>
      </c>
      <c r="BJ260" s="118">
        <f t="shared" si="426"/>
        <v>0</v>
      </c>
      <c r="BK260" s="108" t="s">
        <v>131</v>
      </c>
      <c r="BL260" s="8" t="b">
        <f t="shared" si="427"/>
        <v>1</v>
      </c>
      <c r="BM260" s="128">
        <f t="shared" si="400"/>
        <v>0</v>
      </c>
      <c r="BN260" s="129">
        <f t="shared" si="464"/>
        <v>0</v>
      </c>
      <c r="BR260" s="73">
        <f t="shared" si="428"/>
        <v>0</v>
      </c>
      <c r="BS260" s="73">
        <f t="shared" si="429"/>
        <v>0</v>
      </c>
      <c r="BT260" s="73">
        <f t="shared" si="446"/>
        <v>0</v>
      </c>
      <c r="BU260" s="73">
        <f t="shared" si="447"/>
        <v>0</v>
      </c>
      <c r="BV260" s="73">
        <f t="shared" si="448"/>
        <v>0</v>
      </c>
      <c r="BW260" s="73">
        <f t="shared" si="449"/>
        <v>0</v>
      </c>
      <c r="BX260" s="73">
        <f t="shared" si="450"/>
        <v>0</v>
      </c>
      <c r="BY260" s="73">
        <f t="shared" si="451"/>
        <v>0</v>
      </c>
      <c r="BZ260" s="74">
        <f t="shared" si="461"/>
        <v>0</v>
      </c>
      <c r="CB260" s="75">
        <f t="shared" si="401"/>
        <v>0</v>
      </c>
      <c r="CE260" s="8"/>
      <c r="CJ260" s="70">
        <f t="shared" si="437"/>
        <v>0</v>
      </c>
      <c r="CL260" s="163"/>
      <c r="CM260" s="68"/>
      <c r="CN260" s="20">
        <v>24.7</v>
      </c>
      <c r="CQ260" s="177">
        <f t="shared" si="402"/>
        <v>0</v>
      </c>
      <c r="CR260" s="177">
        <f t="shared" si="403"/>
        <v>-24.7</v>
      </c>
    </row>
    <row r="261" spans="1:96" ht="56.25" x14ac:dyDescent="0.3">
      <c r="B261" s="51" t="s">
        <v>117</v>
      </c>
      <c r="C261" s="71" t="s">
        <v>204</v>
      </c>
      <c r="D261" s="28" t="s">
        <v>199</v>
      </c>
      <c r="E261" s="21" t="s">
        <v>483</v>
      </c>
      <c r="F261" s="21" t="str">
        <f t="shared" si="415"/>
        <v>нд</v>
      </c>
      <c r="G261" s="46" t="str">
        <f t="shared" si="416"/>
        <v>Ошибка в +</v>
      </c>
      <c r="H261" s="46" t="str">
        <f t="shared" si="417"/>
        <v>нд</v>
      </c>
      <c r="I261" s="22" t="s">
        <v>131</v>
      </c>
      <c r="J261" s="20" t="s">
        <v>131</v>
      </c>
      <c r="K261" s="20">
        <v>0</v>
      </c>
      <c r="L261" s="20">
        <f t="shared" si="455"/>
        <v>0</v>
      </c>
      <c r="M261" s="20">
        <v>0</v>
      </c>
      <c r="N261" s="20">
        <v>0</v>
      </c>
      <c r="O261" s="20">
        <v>0</v>
      </c>
      <c r="P261" s="20">
        <v>0</v>
      </c>
      <c r="Q261" s="20"/>
      <c r="R261" s="20">
        <v>0</v>
      </c>
      <c r="S261" s="20">
        <v>0</v>
      </c>
      <c r="T261" s="20">
        <v>0</v>
      </c>
      <c r="U261" s="20">
        <v>0</v>
      </c>
      <c r="V261" s="20">
        <v>0</v>
      </c>
      <c r="W261" s="20">
        <f t="shared" si="463"/>
        <v>0</v>
      </c>
      <c r="X261" s="20"/>
      <c r="Y261" s="20">
        <f t="shared" si="423"/>
        <v>-15.8</v>
      </c>
      <c r="Z261" s="28"/>
      <c r="AA261" s="20">
        <f t="shared" si="424"/>
        <v>0</v>
      </c>
      <c r="AB261" s="20">
        <v>0</v>
      </c>
      <c r="AC261" s="20">
        <v>0</v>
      </c>
      <c r="AD261" s="107">
        <v>15.8</v>
      </c>
      <c r="AE261" s="20"/>
      <c r="AF261" s="20"/>
      <c r="AG261" s="20"/>
      <c r="AH261" s="20"/>
      <c r="AI261" s="20"/>
      <c r="AJ261" s="20"/>
      <c r="AK261" s="20"/>
      <c r="AL261" s="20"/>
      <c r="AM261" s="20"/>
      <c r="AN261" s="20">
        <f t="shared" si="456"/>
        <v>15.8</v>
      </c>
      <c r="AO261" s="20">
        <f t="shared" si="457"/>
        <v>0</v>
      </c>
      <c r="AP261" s="94" t="s">
        <v>499</v>
      </c>
      <c r="AQ261" s="86"/>
      <c r="AR261" s="85">
        <f t="shared" si="438"/>
        <v>-15.8</v>
      </c>
      <c r="AS261" s="85">
        <f t="shared" si="439"/>
        <v>0</v>
      </c>
      <c r="AT261" s="113">
        <f t="shared" si="454"/>
        <v>0</v>
      </c>
      <c r="AV261" s="105">
        <f t="shared" si="453"/>
        <v>0</v>
      </c>
      <c r="AX261" s="31"/>
      <c r="AY261" s="15"/>
      <c r="AZ261" s="118"/>
      <c r="BA261" s="118"/>
      <c r="BB261" s="118"/>
      <c r="BC261" s="118"/>
      <c r="BD261" s="8"/>
      <c r="BE261" s="118">
        <f t="shared" si="409"/>
        <v>0</v>
      </c>
      <c r="BF261" s="118">
        <f t="shared" si="410"/>
        <v>0</v>
      </c>
      <c r="BG261" s="118">
        <f t="shared" si="411"/>
        <v>0</v>
      </c>
      <c r="BH261" s="118">
        <f t="shared" si="412"/>
        <v>0</v>
      </c>
      <c r="BI261" s="122">
        <f t="shared" si="413"/>
        <v>0</v>
      </c>
      <c r="BJ261" s="118">
        <f t="shared" si="426"/>
        <v>0</v>
      </c>
      <c r="BK261" s="108" t="s">
        <v>131</v>
      </c>
      <c r="BL261" s="8" t="b">
        <f t="shared" si="427"/>
        <v>1</v>
      </c>
      <c r="BM261" s="128">
        <f t="shared" si="400"/>
        <v>0</v>
      </c>
      <c r="BN261" s="129">
        <f t="shared" si="464"/>
        <v>0</v>
      </c>
      <c r="BR261" s="73">
        <f t="shared" si="428"/>
        <v>0</v>
      </c>
      <c r="BS261" s="73">
        <f t="shared" si="429"/>
        <v>0</v>
      </c>
      <c r="BT261" s="73">
        <f t="shared" si="446"/>
        <v>0</v>
      </c>
      <c r="BU261" s="73">
        <f t="shared" si="447"/>
        <v>0</v>
      </c>
      <c r="BV261" s="73">
        <f t="shared" si="448"/>
        <v>0</v>
      </c>
      <c r="BW261" s="73">
        <f t="shared" si="449"/>
        <v>0</v>
      </c>
      <c r="BX261" s="73">
        <f t="shared" si="450"/>
        <v>0</v>
      </c>
      <c r="BY261" s="73">
        <f t="shared" si="451"/>
        <v>0</v>
      </c>
      <c r="BZ261" s="74">
        <f t="shared" si="461"/>
        <v>0</v>
      </c>
      <c r="CB261" s="75">
        <f t="shared" si="401"/>
        <v>0</v>
      </c>
      <c r="CE261" s="8"/>
      <c r="CJ261" s="70">
        <f t="shared" si="437"/>
        <v>0</v>
      </c>
      <c r="CL261" s="163"/>
      <c r="CM261" s="68"/>
      <c r="CN261" s="20">
        <v>15.79</v>
      </c>
      <c r="CQ261" s="177">
        <f t="shared" si="402"/>
        <v>0</v>
      </c>
      <c r="CR261" s="177">
        <f t="shared" si="403"/>
        <v>-15.8</v>
      </c>
    </row>
    <row r="262" spans="1:96" ht="75" x14ac:dyDescent="0.3">
      <c r="B262" s="51" t="s">
        <v>117</v>
      </c>
      <c r="C262" s="71" t="s">
        <v>203</v>
      </c>
      <c r="D262" s="28" t="s">
        <v>219</v>
      </c>
      <c r="E262" s="21" t="s">
        <v>483</v>
      </c>
      <c r="F262" s="21" t="str">
        <f t="shared" si="415"/>
        <v>нд</v>
      </c>
      <c r="G262" s="46" t="str">
        <f t="shared" si="416"/>
        <v>Ошибка в +</v>
      </c>
      <c r="H262" s="46" t="str">
        <f t="shared" si="417"/>
        <v>нд</v>
      </c>
      <c r="I262" s="22" t="s">
        <v>131</v>
      </c>
      <c r="J262" s="20" t="s">
        <v>131</v>
      </c>
      <c r="K262" s="20">
        <v>0</v>
      </c>
      <c r="L262" s="20">
        <f t="shared" si="455"/>
        <v>0</v>
      </c>
      <c r="M262" s="20">
        <v>0</v>
      </c>
      <c r="N262" s="20">
        <v>0</v>
      </c>
      <c r="O262" s="20">
        <v>0</v>
      </c>
      <c r="P262" s="20">
        <v>0</v>
      </c>
      <c r="Q262" s="20"/>
      <c r="R262" s="20">
        <v>0</v>
      </c>
      <c r="S262" s="20">
        <v>0</v>
      </c>
      <c r="T262" s="20">
        <v>0</v>
      </c>
      <c r="U262" s="20">
        <v>0</v>
      </c>
      <c r="V262" s="20">
        <v>0</v>
      </c>
      <c r="W262" s="20">
        <f t="shared" si="463"/>
        <v>0</v>
      </c>
      <c r="X262" s="20"/>
      <c r="Y262" s="20">
        <f t="shared" si="423"/>
        <v>-9.5</v>
      </c>
      <c r="Z262" s="28"/>
      <c r="AA262" s="20">
        <f t="shared" si="424"/>
        <v>0</v>
      </c>
      <c r="AB262" s="20">
        <v>0</v>
      </c>
      <c r="AC262" s="20">
        <v>0</v>
      </c>
      <c r="AD262" s="107">
        <v>9.5</v>
      </c>
      <c r="AE262" s="20"/>
      <c r="AF262" s="20"/>
      <c r="AG262" s="20"/>
      <c r="AH262" s="20"/>
      <c r="AI262" s="20"/>
      <c r="AJ262" s="20"/>
      <c r="AK262" s="20"/>
      <c r="AL262" s="20"/>
      <c r="AM262" s="20"/>
      <c r="AN262" s="20">
        <f t="shared" si="456"/>
        <v>9.5</v>
      </c>
      <c r="AO262" s="20">
        <f t="shared" si="457"/>
        <v>0</v>
      </c>
      <c r="AP262" s="94" t="s">
        <v>499</v>
      </c>
      <c r="AQ262" s="86"/>
      <c r="AR262" s="85">
        <f t="shared" si="438"/>
        <v>-9.5</v>
      </c>
      <c r="AS262" s="85">
        <f t="shared" si="439"/>
        <v>0</v>
      </c>
      <c r="AT262" s="113">
        <f t="shared" si="454"/>
        <v>0</v>
      </c>
      <c r="AV262" s="105">
        <f t="shared" si="453"/>
        <v>0</v>
      </c>
      <c r="AX262" s="31"/>
      <c r="AY262" s="15"/>
      <c r="AZ262" s="118"/>
      <c r="BA262" s="118"/>
      <c r="BB262" s="118"/>
      <c r="BC262" s="118"/>
      <c r="BD262" s="8"/>
      <c r="BE262" s="118">
        <f t="shared" si="409"/>
        <v>0</v>
      </c>
      <c r="BF262" s="118">
        <f t="shared" si="410"/>
        <v>0</v>
      </c>
      <c r="BG262" s="118">
        <f t="shared" si="411"/>
        <v>0</v>
      </c>
      <c r="BH262" s="118">
        <f t="shared" si="412"/>
        <v>0</v>
      </c>
      <c r="BI262" s="122">
        <f t="shared" si="413"/>
        <v>0</v>
      </c>
      <c r="BJ262" s="118">
        <f t="shared" si="426"/>
        <v>0</v>
      </c>
      <c r="BK262" s="108" t="s">
        <v>131</v>
      </c>
      <c r="BL262" s="8" t="b">
        <f t="shared" si="427"/>
        <v>1</v>
      </c>
      <c r="BM262" s="128">
        <f t="shared" si="400"/>
        <v>0</v>
      </c>
      <c r="BN262" s="129">
        <f t="shared" si="464"/>
        <v>0</v>
      </c>
      <c r="BR262" s="73">
        <f t="shared" si="428"/>
        <v>0</v>
      </c>
      <c r="BS262" s="73">
        <f t="shared" si="429"/>
        <v>0</v>
      </c>
      <c r="BT262" s="73">
        <f t="shared" si="446"/>
        <v>0</v>
      </c>
      <c r="BU262" s="73">
        <f t="shared" si="447"/>
        <v>0</v>
      </c>
      <c r="BV262" s="73">
        <f t="shared" si="448"/>
        <v>0</v>
      </c>
      <c r="BW262" s="73">
        <f t="shared" si="449"/>
        <v>0</v>
      </c>
      <c r="BX262" s="73">
        <f t="shared" si="450"/>
        <v>0</v>
      </c>
      <c r="BY262" s="73">
        <f t="shared" si="451"/>
        <v>0</v>
      </c>
      <c r="BZ262" s="74">
        <f t="shared" si="461"/>
        <v>0</v>
      </c>
      <c r="CB262" s="75">
        <f t="shared" si="401"/>
        <v>0</v>
      </c>
      <c r="CE262" s="8"/>
      <c r="CJ262" s="70">
        <f t="shared" si="437"/>
        <v>0</v>
      </c>
      <c r="CL262" s="163"/>
      <c r="CM262" s="68"/>
      <c r="CN262" s="20">
        <v>9.5</v>
      </c>
      <c r="CQ262" s="177">
        <f t="shared" si="402"/>
        <v>0</v>
      </c>
      <c r="CR262" s="177">
        <f t="shared" si="403"/>
        <v>-9.5</v>
      </c>
    </row>
    <row r="263" spans="1:96" ht="83.25" customHeight="1" x14ac:dyDescent="0.3">
      <c r="B263" s="51" t="s">
        <v>117</v>
      </c>
      <c r="C263" s="71" t="s">
        <v>611</v>
      </c>
      <c r="D263" s="28" t="s">
        <v>200</v>
      </c>
      <c r="E263" s="21" t="s">
        <v>483</v>
      </c>
      <c r="F263" s="21" t="str">
        <f t="shared" si="415"/>
        <v>нд</v>
      </c>
      <c r="G263" s="46" t="str">
        <f t="shared" si="416"/>
        <v>нд</v>
      </c>
      <c r="H263" s="46" t="str">
        <f t="shared" si="417"/>
        <v>нд</v>
      </c>
      <c r="I263" s="22" t="s">
        <v>131</v>
      </c>
      <c r="J263" s="20" t="s">
        <v>131</v>
      </c>
      <c r="K263" s="20">
        <v>0</v>
      </c>
      <c r="L263" s="20">
        <f t="shared" si="455"/>
        <v>0</v>
      </c>
      <c r="M263" s="20">
        <v>0</v>
      </c>
      <c r="N263" s="20">
        <v>0</v>
      </c>
      <c r="O263" s="20">
        <v>0</v>
      </c>
      <c r="P263" s="20">
        <v>0</v>
      </c>
      <c r="Q263" s="20"/>
      <c r="R263" s="20">
        <v>0</v>
      </c>
      <c r="S263" s="20">
        <v>0</v>
      </c>
      <c r="T263" s="20">
        <v>0</v>
      </c>
      <c r="U263" s="20">
        <v>0</v>
      </c>
      <c r="V263" s="20">
        <v>0</v>
      </c>
      <c r="W263" s="20">
        <f t="shared" si="463"/>
        <v>0</v>
      </c>
      <c r="X263" s="20"/>
      <c r="Y263" s="20">
        <f t="shared" si="423"/>
        <v>0</v>
      </c>
      <c r="Z263" s="28"/>
      <c r="AA263" s="20">
        <f t="shared" si="424"/>
        <v>0</v>
      </c>
      <c r="AB263" s="20">
        <v>0</v>
      </c>
      <c r="AC263" s="20">
        <v>0</v>
      </c>
      <c r="AD263" s="20">
        <v>0</v>
      </c>
      <c r="AE263" s="20"/>
      <c r="AF263" s="20"/>
      <c r="AG263" s="20"/>
      <c r="AH263" s="20"/>
      <c r="AI263" s="20"/>
      <c r="AJ263" s="20"/>
      <c r="AK263" s="20"/>
      <c r="AL263" s="20"/>
      <c r="AM263" s="20"/>
      <c r="AN263" s="20">
        <f t="shared" si="456"/>
        <v>0</v>
      </c>
      <c r="AO263" s="20">
        <f t="shared" si="457"/>
        <v>0</v>
      </c>
      <c r="AP263" s="94" t="s">
        <v>499</v>
      </c>
      <c r="AQ263" s="86"/>
      <c r="AR263" s="85">
        <f t="shared" si="438"/>
        <v>0</v>
      </c>
      <c r="AS263" s="85">
        <f t="shared" si="439"/>
        <v>0</v>
      </c>
      <c r="AT263" s="113">
        <f t="shared" si="454"/>
        <v>0</v>
      </c>
      <c r="AV263" s="105">
        <f t="shared" si="453"/>
        <v>0</v>
      </c>
      <c r="AX263" s="31"/>
      <c r="AY263" s="15"/>
      <c r="AZ263" s="118"/>
      <c r="BA263" s="118"/>
      <c r="BB263" s="118"/>
      <c r="BC263" s="118"/>
      <c r="BD263" s="8"/>
      <c r="BE263" s="118">
        <f t="shared" si="409"/>
        <v>0</v>
      </c>
      <c r="BF263" s="118">
        <f t="shared" si="410"/>
        <v>0</v>
      </c>
      <c r="BG263" s="118">
        <f t="shared" si="411"/>
        <v>0</v>
      </c>
      <c r="BH263" s="118">
        <f t="shared" si="412"/>
        <v>0</v>
      </c>
      <c r="BI263" s="122">
        <f t="shared" si="413"/>
        <v>0</v>
      </c>
      <c r="BJ263" s="118">
        <f t="shared" si="426"/>
        <v>0</v>
      </c>
      <c r="BK263" s="108" t="s">
        <v>131</v>
      </c>
      <c r="BL263" s="8" t="b">
        <f t="shared" si="427"/>
        <v>1</v>
      </c>
      <c r="BM263" s="128">
        <f t="shared" si="400"/>
        <v>0</v>
      </c>
      <c r="BN263" s="129">
        <f t="shared" si="464"/>
        <v>0</v>
      </c>
      <c r="BR263" s="73">
        <f t="shared" si="428"/>
        <v>0</v>
      </c>
      <c r="BS263" s="73">
        <f t="shared" si="429"/>
        <v>0</v>
      </c>
      <c r="BT263" s="73">
        <f t="shared" si="446"/>
        <v>0</v>
      </c>
      <c r="BU263" s="73">
        <f t="shared" si="447"/>
        <v>0</v>
      </c>
      <c r="BV263" s="73">
        <f t="shared" si="448"/>
        <v>0</v>
      </c>
      <c r="BW263" s="73">
        <f t="shared" si="449"/>
        <v>0</v>
      </c>
      <c r="BX263" s="73">
        <f t="shared" si="450"/>
        <v>0</v>
      </c>
      <c r="BY263" s="73">
        <f t="shared" si="451"/>
        <v>0</v>
      </c>
      <c r="BZ263" s="74">
        <f t="shared" si="461"/>
        <v>0</v>
      </c>
      <c r="CB263" s="75">
        <f t="shared" si="401"/>
        <v>0</v>
      </c>
      <c r="CE263" s="8"/>
      <c r="CJ263" s="70">
        <f t="shared" si="437"/>
        <v>0</v>
      </c>
      <c r="CL263" s="163"/>
      <c r="CM263" s="68"/>
      <c r="CN263" s="20"/>
      <c r="CQ263" s="177">
        <f t="shared" si="402"/>
        <v>0</v>
      </c>
      <c r="CR263" s="177">
        <f t="shared" si="403"/>
        <v>0</v>
      </c>
    </row>
    <row r="264" spans="1:96" ht="15" customHeight="1" x14ac:dyDescent="0.25">
      <c r="AO264" s="61"/>
      <c r="AS264" s="31"/>
      <c r="AT264" s="31"/>
    </row>
    <row r="265" spans="1:96" s="15" customFormat="1" x14ac:dyDescent="0.25">
      <c r="A265" s="108"/>
      <c r="M265" s="166"/>
      <c r="N265" s="166"/>
      <c r="O265" s="166"/>
      <c r="P265" s="166"/>
      <c r="Q265" s="166"/>
      <c r="R265" s="166"/>
      <c r="S265" s="166"/>
      <c r="T265" s="166"/>
      <c r="U265" s="166"/>
      <c r="V265" s="166"/>
      <c r="W265" s="166"/>
      <c r="X265" s="166"/>
      <c r="Y265" s="166"/>
      <c r="Z265" s="166"/>
      <c r="AA265" s="166"/>
      <c r="AB265" s="167"/>
      <c r="AC265" s="166"/>
      <c r="AD265" s="166"/>
      <c r="AE265" s="166"/>
      <c r="AF265" s="166"/>
      <c r="AG265" s="166"/>
      <c r="AH265" s="166"/>
      <c r="AI265" s="166"/>
      <c r="AJ265" s="166"/>
      <c r="AK265" s="166"/>
      <c r="AL265" s="166"/>
      <c r="AM265" s="166"/>
      <c r="AN265" s="166"/>
      <c r="AO265" s="166"/>
      <c r="AP265" s="166"/>
      <c r="AQ265" s="166"/>
    </row>
    <row r="266" spans="1:96" x14ac:dyDescent="0.25">
      <c r="J266" s="1">
        <v>17211.702892399728</v>
      </c>
      <c r="K266" s="1">
        <v>1008.5009</v>
      </c>
      <c r="L266" s="1">
        <v>45774.201463560923</v>
      </c>
      <c r="M266" s="8">
        <v>2926.8093666519726</v>
      </c>
      <c r="N266" s="8">
        <v>24852.500193794709</v>
      </c>
      <c r="O266" s="8">
        <v>13680.024050298129</v>
      </c>
      <c r="P266" s="8">
        <v>4314.7789528161074</v>
      </c>
      <c r="Q266" s="8">
        <v>54020.499727029892</v>
      </c>
      <c r="R266" s="8">
        <v>3431.3057196229238</v>
      </c>
      <c r="S266" s="8">
        <v>29332.225290125967</v>
      </c>
      <c r="T266" s="8">
        <v>13769.74608460371</v>
      </c>
      <c r="U266" s="8">
        <v>7487.2226326772925</v>
      </c>
      <c r="V266" s="8">
        <v>0</v>
      </c>
      <c r="W266" s="8">
        <v>44765.700563560924</v>
      </c>
      <c r="X266" s="8">
        <v>0</v>
      </c>
      <c r="Y266" s="8">
        <v>25350.18116109075</v>
      </c>
      <c r="Z266" s="8">
        <v>0</v>
      </c>
      <c r="AA266" s="8">
        <v>40351.32607795966</v>
      </c>
      <c r="AB266" s="31">
        <v>2002.3435000000004</v>
      </c>
      <c r="AC266" s="8">
        <v>2002.3434000000002</v>
      </c>
      <c r="AD266" s="8">
        <v>8603.7999999999993</v>
      </c>
      <c r="AE266" s="8">
        <v>9328.1803890702286</v>
      </c>
      <c r="AF266" s="8">
        <v>8084.9952034999433</v>
      </c>
      <c r="AG266" s="8">
        <v>10617.10657</v>
      </c>
      <c r="AH266" s="8">
        <v>8826.7015656861913</v>
      </c>
      <c r="AI266" s="8">
        <v>10092.923168999499</v>
      </c>
      <c r="AJ266" s="8">
        <v>7039.0845967481018</v>
      </c>
      <c r="AK266" s="8">
        <v>8114.2711908164829</v>
      </c>
      <c r="AL266" s="8">
        <v>6337.1898978066565</v>
      </c>
      <c r="AM266" s="8">
        <v>7606.7810671136867</v>
      </c>
      <c r="AN266" s="8">
        <v>39616.151962711119</v>
      </c>
      <c r="AO266" s="8">
        <v>45759.2623859999</v>
      </c>
      <c r="AP266" s="166"/>
      <c r="BU266" s="39"/>
    </row>
    <row r="267" spans="1:96" x14ac:dyDescent="0.25">
      <c r="I267" s="132"/>
      <c r="J267" s="132">
        <f t="shared" ref="J267:AO267" si="465">J266-J18</f>
        <v>6459.6399999999994</v>
      </c>
      <c r="K267" s="132">
        <f t="shared" si="465"/>
        <v>0</v>
      </c>
      <c r="L267" s="132">
        <f t="shared" si="465"/>
        <v>0</v>
      </c>
      <c r="M267" s="132">
        <f t="shared" si="465"/>
        <v>0</v>
      </c>
      <c r="N267" s="132">
        <f t="shared" si="465"/>
        <v>0</v>
      </c>
      <c r="O267" s="132">
        <f t="shared" si="465"/>
        <v>0</v>
      </c>
      <c r="P267" s="132">
        <f t="shared" si="465"/>
        <v>0</v>
      </c>
      <c r="Q267" s="132">
        <f t="shared" si="465"/>
        <v>-88.54599999999482</v>
      </c>
      <c r="R267" s="132">
        <f t="shared" si="465"/>
        <v>-13.024834898070822</v>
      </c>
      <c r="S267" s="132">
        <f t="shared" si="465"/>
        <v>-153.0693478988178</v>
      </c>
      <c r="T267" s="132">
        <f t="shared" si="465"/>
        <v>88.738177550452747</v>
      </c>
      <c r="U267" s="132">
        <f t="shared" si="465"/>
        <v>-11.189994753563951</v>
      </c>
      <c r="V267" s="132">
        <f t="shared" si="465"/>
        <v>0</v>
      </c>
      <c r="W267" s="132">
        <f t="shared" si="465"/>
        <v>0</v>
      </c>
      <c r="X267" s="132">
        <f t="shared" si="465"/>
        <v>0</v>
      </c>
      <c r="Y267" s="132">
        <f t="shared" si="465"/>
        <v>-724.26069897022899</v>
      </c>
      <c r="Z267" s="132">
        <f t="shared" si="465"/>
        <v>0</v>
      </c>
      <c r="AA267" s="132">
        <f t="shared" si="465"/>
        <v>-88.531000000002678</v>
      </c>
      <c r="AB267" s="132">
        <f t="shared" si="465"/>
        <v>0</v>
      </c>
      <c r="AC267" s="132">
        <f t="shared" si="465"/>
        <v>0</v>
      </c>
      <c r="AD267" s="132">
        <f t="shared" si="465"/>
        <v>-0.12000000000080036</v>
      </c>
      <c r="AE267" s="132">
        <f t="shared" si="465"/>
        <v>-1.5000000001236913E-2</v>
      </c>
      <c r="AF267" s="132">
        <f t="shared" si="465"/>
        <v>0</v>
      </c>
      <c r="AG267" s="132">
        <f t="shared" si="465"/>
        <v>0</v>
      </c>
      <c r="AH267" s="132">
        <f t="shared" si="465"/>
        <v>0</v>
      </c>
      <c r="AI267" s="132">
        <f t="shared" si="465"/>
        <v>0</v>
      </c>
      <c r="AJ267" s="132">
        <f t="shared" si="465"/>
        <v>0</v>
      </c>
      <c r="AK267" s="132">
        <f t="shared" si="465"/>
        <v>0</v>
      </c>
      <c r="AL267" s="132">
        <f t="shared" si="465"/>
        <v>0</v>
      </c>
      <c r="AM267" s="132">
        <f t="shared" si="465"/>
        <v>0</v>
      </c>
      <c r="AN267" s="132">
        <f t="shared" si="465"/>
        <v>1709.5606989702355</v>
      </c>
      <c r="AO267" s="132">
        <f t="shared" si="465"/>
        <v>-1.4999999999417923E-2</v>
      </c>
      <c r="AP267" s="133"/>
    </row>
    <row r="270" spans="1:96" ht="15" customHeight="1" x14ac:dyDescent="0.45">
      <c r="AN270" s="135"/>
      <c r="AO270" s="135"/>
    </row>
    <row r="271" spans="1:96" ht="15" customHeight="1" x14ac:dyDescent="0.3">
      <c r="J271" s="68">
        <v>17463.30289239973</v>
      </c>
      <c r="K271" s="68">
        <v>1008.5009</v>
      </c>
      <c r="L271" s="68">
        <v>45774.201463560923</v>
      </c>
      <c r="M271" s="66">
        <v>2926.8093666519726</v>
      </c>
      <c r="N271" s="66">
        <v>24852.500193794709</v>
      </c>
      <c r="O271" s="66">
        <v>13680.024050298129</v>
      </c>
      <c r="P271" s="66">
        <v>4314.7789528161074</v>
      </c>
      <c r="Q271" s="66">
        <v>54109.09972702989</v>
      </c>
      <c r="R271" s="66">
        <v>3436.6217196229236</v>
      </c>
      <c r="S271" s="66">
        <v>29364.121290125968</v>
      </c>
      <c r="T271" s="66">
        <v>13814.046084603709</v>
      </c>
      <c r="U271" s="66">
        <v>7494.3106326772922</v>
      </c>
      <c r="V271" s="66">
        <v>0</v>
      </c>
      <c r="W271" s="66">
        <v>44765.700563560924</v>
      </c>
      <c r="X271" s="66">
        <v>0</v>
      </c>
      <c r="Y271" s="66">
        <v>25350.18116109075</v>
      </c>
      <c r="Z271" s="66">
        <v>0</v>
      </c>
      <c r="AA271" s="66">
        <v>40439.926077959659</v>
      </c>
      <c r="AB271" s="67">
        <v>2002.3435000000004</v>
      </c>
      <c r="AC271" s="66">
        <v>2002.3434000000002</v>
      </c>
      <c r="AD271" s="66">
        <v>8603.7999999999993</v>
      </c>
      <c r="AE271" s="146">
        <v>9328.1803890702286</v>
      </c>
      <c r="AF271" s="66">
        <v>8084.9952034999433</v>
      </c>
      <c r="AG271" s="146">
        <v>10617.10657</v>
      </c>
      <c r="AH271" s="66">
        <v>8826.7015656861913</v>
      </c>
      <c r="AI271" s="146">
        <v>10092.923168999499</v>
      </c>
      <c r="AJ271" s="66">
        <v>7039.0845967481018</v>
      </c>
      <c r="AK271" s="146">
        <v>8114.2711908164829</v>
      </c>
      <c r="AL271" s="66">
        <v>6337.1898978066565</v>
      </c>
      <c r="AM271" s="146">
        <v>7606.7810671136867</v>
      </c>
      <c r="AN271" s="66">
        <v>39616.151962711119</v>
      </c>
      <c r="AO271" s="66">
        <v>45759.2623859999</v>
      </c>
      <c r="AP271" s="66" t="s">
        <v>131</v>
      </c>
    </row>
    <row r="272" spans="1:96" ht="20.25" x14ac:dyDescent="0.3">
      <c r="J272" s="147">
        <f t="shared" ref="J272:AP272" si="466">J271-J18</f>
        <v>6711.2400000000016</v>
      </c>
      <c r="K272" s="147">
        <f t="shared" si="466"/>
        <v>0</v>
      </c>
      <c r="L272" s="147">
        <f t="shared" si="466"/>
        <v>0</v>
      </c>
      <c r="M272" s="147">
        <f t="shared" si="466"/>
        <v>0</v>
      </c>
      <c r="N272" s="147">
        <f t="shared" si="466"/>
        <v>0</v>
      </c>
      <c r="O272" s="147">
        <f t="shared" si="466"/>
        <v>0</v>
      </c>
      <c r="P272" s="147">
        <f t="shared" si="466"/>
        <v>0</v>
      </c>
      <c r="Q272" s="147">
        <f t="shared" si="466"/>
        <v>5.400000000372529E-2</v>
      </c>
      <c r="R272" s="147">
        <f t="shared" si="466"/>
        <v>-7.708834898071018</v>
      </c>
      <c r="S272" s="147">
        <f t="shared" si="466"/>
        <v>-121.17334789881716</v>
      </c>
      <c r="T272" s="147">
        <f t="shared" si="466"/>
        <v>133.03817755045202</v>
      </c>
      <c r="U272" s="147">
        <f t="shared" si="466"/>
        <v>-4.1019947535642132</v>
      </c>
      <c r="V272" s="147">
        <f t="shared" si="466"/>
        <v>0</v>
      </c>
      <c r="W272" s="147">
        <f t="shared" si="466"/>
        <v>0</v>
      </c>
      <c r="X272" s="147">
        <f t="shared" si="466"/>
        <v>0</v>
      </c>
      <c r="Y272" s="147">
        <f t="shared" si="466"/>
        <v>-724.26069897022899</v>
      </c>
      <c r="Z272" s="147">
        <f t="shared" si="466"/>
        <v>0</v>
      </c>
      <c r="AA272" s="147">
        <f t="shared" si="466"/>
        <v>6.8999999995867256E-2</v>
      </c>
      <c r="AB272" s="147">
        <f t="shared" si="466"/>
        <v>0</v>
      </c>
      <c r="AC272" s="147">
        <f t="shared" si="466"/>
        <v>0</v>
      </c>
      <c r="AD272" s="147">
        <f t="shared" si="466"/>
        <v>-0.12000000000080036</v>
      </c>
      <c r="AE272" s="147">
        <f t="shared" si="466"/>
        <v>-1.5000000001236913E-2</v>
      </c>
      <c r="AF272" s="147">
        <f t="shared" si="466"/>
        <v>0</v>
      </c>
      <c r="AG272" s="147">
        <f t="shared" si="466"/>
        <v>0</v>
      </c>
      <c r="AH272" s="147">
        <f t="shared" si="466"/>
        <v>0</v>
      </c>
      <c r="AI272" s="147">
        <f t="shared" si="466"/>
        <v>0</v>
      </c>
      <c r="AJ272" s="147">
        <f t="shared" si="466"/>
        <v>0</v>
      </c>
      <c r="AK272" s="147">
        <f t="shared" si="466"/>
        <v>0</v>
      </c>
      <c r="AL272" s="147">
        <f t="shared" si="466"/>
        <v>0</v>
      </c>
      <c r="AM272" s="147">
        <f t="shared" si="466"/>
        <v>0</v>
      </c>
      <c r="AN272" s="147">
        <f t="shared" si="466"/>
        <v>1709.5606989702355</v>
      </c>
      <c r="AO272" s="147">
        <f t="shared" si="466"/>
        <v>-1.4999999999417923E-2</v>
      </c>
      <c r="AP272" s="147" t="e">
        <f t="shared" si="466"/>
        <v>#VALUE!</v>
      </c>
    </row>
    <row r="280" spans="1:157" s="8" customFormat="1" x14ac:dyDescent="0.25">
      <c r="A280" s="108"/>
      <c r="B280" s="1"/>
      <c r="C280" s="12"/>
      <c r="D280" s="1" t="s">
        <v>361</v>
      </c>
      <c r="E280" s="1"/>
      <c r="F280" s="1"/>
      <c r="G280" s="1"/>
      <c r="H280" s="1"/>
      <c r="I280" s="1" t="s">
        <v>131</v>
      </c>
      <c r="J280" s="1">
        <v>17463.30289239973</v>
      </c>
      <c r="K280" s="1">
        <v>1008.5009</v>
      </c>
      <c r="L280" s="1">
        <v>45774.201463560923</v>
      </c>
      <c r="M280" s="8">
        <v>2926.8093666519726</v>
      </c>
      <c r="N280" s="8">
        <v>24852.500193794709</v>
      </c>
      <c r="O280" s="8">
        <v>13680.024050298129</v>
      </c>
      <c r="P280" s="8">
        <v>4314.7789528161074</v>
      </c>
      <c r="Q280" s="8">
        <v>54109.09972702989</v>
      </c>
      <c r="R280" s="8">
        <v>3436.6217196229236</v>
      </c>
      <c r="S280" s="8">
        <v>29364.121290125968</v>
      </c>
      <c r="T280" s="8">
        <v>13814.046084603709</v>
      </c>
      <c r="U280" s="8">
        <v>7494.3106326772922</v>
      </c>
      <c r="V280" s="8">
        <v>0</v>
      </c>
      <c r="W280" s="8">
        <v>44765.700563560924</v>
      </c>
      <c r="X280" s="8">
        <v>0</v>
      </c>
      <c r="Y280" s="8">
        <v>25350.18116109075</v>
      </c>
      <c r="Z280" s="8">
        <v>0</v>
      </c>
      <c r="AA280" s="8">
        <v>40439.926077959659</v>
      </c>
      <c r="AB280" s="31">
        <v>2002.3435000000004</v>
      </c>
      <c r="AC280" s="8">
        <v>2002.3434000000002</v>
      </c>
      <c r="AD280" s="8">
        <v>8603.9</v>
      </c>
      <c r="AE280" s="8">
        <v>9328.1803890702286</v>
      </c>
      <c r="AF280" s="8">
        <v>8084.9952034999433</v>
      </c>
      <c r="AG280" s="8">
        <v>10617.10657</v>
      </c>
      <c r="AH280" s="8">
        <v>8826.7015656861913</v>
      </c>
      <c r="AI280" s="8">
        <v>10092.923168999498</v>
      </c>
      <c r="AJ280" s="8">
        <v>7039.0845967481018</v>
      </c>
      <c r="AK280" s="8">
        <v>8114.2711908164829</v>
      </c>
      <c r="AL280" s="8">
        <v>6337.1898978066565</v>
      </c>
      <c r="AM280" s="8">
        <v>7606.7810671136858</v>
      </c>
      <c r="AN280" s="8">
        <v>39616.151962711119</v>
      </c>
      <c r="AO280" s="8">
        <v>45759.2623859999</v>
      </c>
      <c r="AP280" s="8" t="s">
        <v>131</v>
      </c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5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</row>
    <row r="281" spans="1:157" s="8" customFormat="1" x14ac:dyDescent="0.25">
      <c r="A281" s="108"/>
      <c r="B281" s="1"/>
      <c r="C281" s="12"/>
      <c r="D281" s="148" t="e">
        <f t="shared" ref="D281:AO281" si="467">D280-D18</f>
        <v>#VALUE!</v>
      </c>
      <c r="E281" s="148">
        <f t="shared" si="467"/>
        <v>0</v>
      </c>
      <c r="F281" s="148">
        <f t="shared" si="467"/>
        <v>0</v>
      </c>
      <c r="G281" s="148">
        <f t="shared" si="467"/>
        <v>0</v>
      </c>
      <c r="H281" s="148">
        <f t="shared" si="467"/>
        <v>0</v>
      </c>
      <c r="I281" s="148" t="e">
        <f t="shared" si="467"/>
        <v>#VALUE!</v>
      </c>
      <c r="J281" s="148">
        <f t="shared" si="467"/>
        <v>6711.2400000000016</v>
      </c>
      <c r="K281" s="148">
        <f t="shared" si="467"/>
        <v>0</v>
      </c>
      <c r="L281" s="148">
        <f t="shared" si="467"/>
        <v>0</v>
      </c>
      <c r="M281" s="148">
        <f t="shared" si="467"/>
        <v>0</v>
      </c>
      <c r="N281" s="148">
        <f t="shared" si="467"/>
        <v>0</v>
      </c>
      <c r="O281" s="148">
        <f t="shared" si="467"/>
        <v>0</v>
      </c>
      <c r="P281" s="148">
        <f t="shared" si="467"/>
        <v>0</v>
      </c>
      <c r="Q281" s="148">
        <f t="shared" si="467"/>
        <v>5.400000000372529E-2</v>
      </c>
      <c r="R281" s="148">
        <f t="shared" si="467"/>
        <v>-7.708834898071018</v>
      </c>
      <c r="S281" s="148">
        <f t="shared" si="467"/>
        <v>-121.17334789881716</v>
      </c>
      <c r="T281" s="148">
        <f t="shared" si="467"/>
        <v>133.03817755045202</v>
      </c>
      <c r="U281" s="148">
        <f t="shared" si="467"/>
        <v>-4.1019947535642132</v>
      </c>
      <c r="V281" s="148">
        <f t="shared" si="467"/>
        <v>0</v>
      </c>
      <c r="W281" s="148">
        <f t="shared" si="467"/>
        <v>0</v>
      </c>
      <c r="X281" s="148">
        <f t="shared" si="467"/>
        <v>0</v>
      </c>
      <c r="Y281" s="148">
        <f t="shared" si="467"/>
        <v>-724.26069897022899</v>
      </c>
      <c r="Z281" s="148">
        <f t="shared" si="467"/>
        <v>0</v>
      </c>
      <c r="AA281" s="148">
        <f t="shared" si="467"/>
        <v>6.8999999995867256E-2</v>
      </c>
      <c r="AB281" s="148">
        <f t="shared" si="467"/>
        <v>0</v>
      </c>
      <c r="AC281" s="148">
        <f t="shared" si="467"/>
        <v>0</v>
      </c>
      <c r="AD281" s="148">
        <f t="shared" si="467"/>
        <v>-2.0000000000436557E-2</v>
      </c>
      <c r="AE281" s="148">
        <f t="shared" si="467"/>
        <v>-1.5000000001236913E-2</v>
      </c>
      <c r="AF281" s="148">
        <f t="shared" si="467"/>
        <v>0</v>
      </c>
      <c r="AG281" s="148">
        <f t="shared" si="467"/>
        <v>0</v>
      </c>
      <c r="AH281" s="148">
        <f t="shared" si="467"/>
        <v>0</v>
      </c>
      <c r="AI281" s="164">
        <f t="shared" si="467"/>
        <v>0</v>
      </c>
      <c r="AJ281" s="148">
        <f t="shared" si="467"/>
        <v>0</v>
      </c>
      <c r="AK281" s="148">
        <f t="shared" si="467"/>
        <v>0</v>
      </c>
      <c r="AL281" s="148">
        <f t="shared" si="467"/>
        <v>0</v>
      </c>
      <c r="AM281" s="148">
        <f t="shared" si="467"/>
        <v>0</v>
      </c>
      <c r="AN281" s="148">
        <f t="shared" si="467"/>
        <v>1709.5606989702355</v>
      </c>
      <c r="AO281" s="148">
        <f t="shared" si="467"/>
        <v>-1.4999999999417923E-2</v>
      </c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5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</row>
  </sheetData>
  <autoFilter ref="B17:CR263"/>
  <mergeCells count="37">
    <mergeCell ref="G14:H15"/>
    <mergeCell ref="B4:AP4"/>
    <mergeCell ref="B6:AP6"/>
    <mergeCell ref="B7:AP7"/>
    <mergeCell ref="B9:AP9"/>
    <mergeCell ref="B11:AP11"/>
    <mergeCell ref="B12:AP12"/>
    <mergeCell ref="B14:B16"/>
    <mergeCell ref="C14:C16"/>
    <mergeCell ref="D14:D16"/>
    <mergeCell ref="E14:E16"/>
    <mergeCell ref="F14:F16"/>
    <mergeCell ref="AV14:AV16"/>
    <mergeCell ref="AZ14:BC14"/>
    <mergeCell ref="BE14:BI14"/>
    <mergeCell ref="BR14:BY14"/>
    <mergeCell ref="I14:J15"/>
    <mergeCell ref="K14:K16"/>
    <mergeCell ref="L14:U14"/>
    <mergeCell ref="V14:AA14"/>
    <mergeCell ref="AB14:AC15"/>
    <mergeCell ref="AD14:AO14"/>
    <mergeCell ref="L15:P15"/>
    <mergeCell ref="Q15:U15"/>
    <mergeCell ref="V15:W15"/>
    <mergeCell ref="X15:Y15"/>
    <mergeCell ref="AN15:AN16"/>
    <mergeCell ref="AO15:AO16"/>
    <mergeCell ref="AR15:AS15"/>
    <mergeCell ref="Z15:AA15"/>
    <mergeCell ref="AD15:AE15"/>
    <mergeCell ref="AF15:AG15"/>
    <mergeCell ref="AH15:AI15"/>
    <mergeCell ref="AJ15:AK15"/>
    <mergeCell ref="AL15:AM15"/>
    <mergeCell ref="AP14:AP16"/>
    <mergeCell ref="AR14:AT14"/>
  </mergeCells>
  <conditionalFormatting sqref="C202:C203 C100:C103 C70:C73 C84">
    <cfRule type="duplicateValues" dxfId="0" priority="7"/>
  </conditionalFormatting>
  <conditionalFormatting sqref="AT75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{724B8291-F3A9-409E-A03E-1F57148D4A1A}</x14:id>
        </ext>
      </extLst>
    </cfRule>
  </conditionalFormatting>
  <conditionalFormatting sqref="AT76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{81ABFA54-496B-4DD8-BC00-5E7E6F832EBD}</x14:id>
        </ext>
      </extLst>
    </cfRule>
  </conditionalFormatting>
  <conditionalFormatting sqref="AT78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{BC140C9C-7A3F-43BC-B609-DB49F750DB43}</x14:id>
        </ext>
      </extLst>
    </cfRule>
  </conditionalFormatting>
  <conditionalFormatting sqref="AT129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{0EE8C8F7-2C33-450F-891C-22C4BE3FA566}</x14:id>
        </ext>
      </extLst>
    </cfRule>
  </conditionalFormatting>
  <conditionalFormatting sqref="AT39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{C83FFB51-AEE5-4AA1-BFD1-1059ED0BDBA9}</x14:id>
        </ext>
      </extLst>
    </cfRule>
  </conditionalFormatting>
  <conditionalFormatting sqref="AT37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{01E09090-A200-4D68-9150-7E0FB01F036B}</x14:id>
        </ext>
      </extLst>
    </cfRule>
  </conditionalFormatting>
  <conditionalFormatting sqref="AT130:AT263 AT19:AT36 AT77 AT79:AT128 AT38 AT40:AT74">
    <cfRule type="dataBar" priority="2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{F349FECB-9909-4DA3-B9CC-F901EFEE89EF}</x14:id>
        </ext>
      </extLst>
    </cfRule>
  </conditionalFormatting>
  <printOptions horizontalCentered="1"/>
  <pageMargins left="0.23622047244094491" right="0.23622047244094491" top="0.39370078740157483" bottom="0.39370078740157483" header="0.31496062992125984" footer="0.31496062992125984"/>
  <pageSetup paperSize="9" scale="12" firstPageNumber="2" fitToHeight="3" orientation="landscape" r:id="rId1"/>
  <headerFooter>
    <oddFooter>Страница  &amp;P из &amp;N</oddFooter>
  </headerFooter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24B8291-F3A9-409E-A03E-1F57148D4A1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AT75</xm:sqref>
        </x14:conditionalFormatting>
        <x14:conditionalFormatting xmlns:xm="http://schemas.microsoft.com/office/excel/2006/main">
          <x14:cfRule type="dataBar" id="{81ABFA54-496B-4DD8-BC00-5E7E6F832EB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AT76</xm:sqref>
        </x14:conditionalFormatting>
        <x14:conditionalFormatting xmlns:xm="http://schemas.microsoft.com/office/excel/2006/main">
          <x14:cfRule type="dataBar" id="{BC140C9C-7A3F-43BC-B609-DB49F750DB4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AT78</xm:sqref>
        </x14:conditionalFormatting>
        <x14:conditionalFormatting xmlns:xm="http://schemas.microsoft.com/office/excel/2006/main">
          <x14:cfRule type="dataBar" id="{0EE8C8F7-2C33-450F-891C-22C4BE3FA56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AT129</xm:sqref>
        </x14:conditionalFormatting>
        <x14:conditionalFormatting xmlns:xm="http://schemas.microsoft.com/office/excel/2006/main">
          <x14:cfRule type="dataBar" id="{C83FFB51-AEE5-4AA1-BFD1-1059ED0BDBA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AT39</xm:sqref>
        </x14:conditionalFormatting>
        <x14:conditionalFormatting xmlns:xm="http://schemas.microsoft.com/office/excel/2006/main">
          <x14:cfRule type="dataBar" id="{01E09090-A200-4D68-9150-7E0FB01F036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AT37</xm:sqref>
        </x14:conditionalFormatting>
        <x14:conditionalFormatting xmlns:xm="http://schemas.microsoft.com/office/excel/2006/main">
          <x14:cfRule type="dataBar" id="{F349FECB-9909-4DA3-B9CC-F901EFEE89E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AT130:AT263 AT19:AT36 AT77 AT79:AT128 AT38 AT40:AT74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План освоения КВЛ 2023-2024</vt:lpstr>
      <vt:lpstr>Форма №3 (2)</vt:lpstr>
      <vt:lpstr>'Форма №3 (2)'!Заголовки_для_печати</vt:lpstr>
      <vt:lpstr>'План освоения КВЛ 2023-2024'!Область_печати</vt:lpstr>
      <vt:lpstr>'Форма №3 (2)'!Область_печати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Бурганов Дмитрий Олегович</cp:lastModifiedBy>
  <cp:lastPrinted>2023-12-25T14:03:44Z</cp:lastPrinted>
  <dcterms:created xsi:type="dcterms:W3CDTF">2009-07-27T10:10:26Z</dcterms:created>
  <dcterms:modified xsi:type="dcterms:W3CDTF">2023-12-25T14:03:52Z</dcterms:modified>
</cp:coreProperties>
</file>